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525" activeTab="0"/>
  </bookViews>
  <sheets>
    <sheet name="Example 4.1" sheetId="1" r:id="rId1"/>
    <sheet name="Example 4.2" sheetId="2" r:id="rId2"/>
    <sheet name="Example 4.3" sheetId="3" r:id="rId3"/>
    <sheet name="Example 4.4a" sheetId="4" r:id="rId4"/>
    <sheet name="Example 4.4b" sheetId="5" r:id="rId5"/>
    <sheet name="Example 4.5" sheetId="6" r:id="rId6"/>
  </sheets>
  <definedNames>
    <definedName name="solver_adj" localSheetId="4" hidden="1">'Example 4.4b'!$D$67:$E$67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'Example 4.4b'!$F$101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comments4.xml><?xml version="1.0" encoding="utf-8"?>
<comments xmlns="http://schemas.openxmlformats.org/spreadsheetml/2006/main">
  <authors>
    <author>Bart</author>
  </authors>
  <commentList>
    <comment ref="G68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(x^2)*Ab
</t>
        </r>
      </text>
    </comment>
    <comment ref="F68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(y^2)*Ab</t>
        </r>
      </text>
    </comment>
  </commentList>
</comments>
</file>

<file path=xl/comments5.xml><?xml version="1.0" encoding="utf-8"?>
<comments xmlns="http://schemas.openxmlformats.org/spreadsheetml/2006/main">
  <authors>
    <author>Bart</author>
  </authors>
  <commentList>
    <comment ref="E67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Change these two values until the orange colored cell below is essentially zero.  You can use the excell add-in "Solver" to do this automatically.  Be aware that there is more than one root!
</t>
        </r>
      </text>
    </comment>
  </commentList>
</comments>
</file>

<file path=xl/sharedStrings.xml><?xml version="1.0" encoding="utf-8"?>
<sst xmlns="http://schemas.openxmlformats.org/spreadsheetml/2006/main" count="892" uniqueCount="313">
  <si>
    <t>in</t>
  </si>
  <si>
    <r>
      <t>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</si>
  <si>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Wanted:</t>
  </si>
  <si>
    <t>Solution:</t>
  </si>
  <si>
    <t>Results Summary:</t>
  </si>
  <si>
    <t>Computations follow</t>
  </si>
  <si>
    <t>Table of Capacities</t>
  </si>
  <si>
    <t>LRFD</t>
  </si>
  <si>
    <t>ASD</t>
  </si>
  <si>
    <t>Limit State</t>
  </si>
  <si>
    <t>(k)</t>
  </si>
  <si>
    <t>Answer</t>
  </si>
  <si>
    <t>ASCE 7 Load Combinations:</t>
  </si>
  <si>
    <t>Assume that the applied load consists of 40% dead load and 60% live load.</t>
  </si>
  <si>
    <t xml:space="preserve">Determine the capacity of the connection based on bolt strength as specified below.  </t>
  </si>
  <si>
    <t xml:space="preserve">Consider both LRFD and ASD.  </t>
  </si>
  <si>
    <t>Express your results in terms of service load levels.</t>
  </si>
  <si>
    <t>Determine the slip capacity of the connection.</t>
  </si>
  <si>
    <t>Determine the bearing capacity of the connection.</t>
  </si>
  <si>
    <t>a.</t>
  </si>
  <si>
    <t>b.</t>
  </si>
  <si>
    <t>Slip</t>
  </si>
  <si>
    <t>Shear Rupture</t>
  </si>
  <si>
    <t>Slip Capacity - See specification J3.8</t>
  </si>
  <si>
    <t>m</t>
  </si>
  <si>
    <t>Ns</t>
  </si>
  <si>
    <t>kips</t>
  </si>
  <si>
    <t>kips/bolt</t>
  </si>
  <si>
    <t>(Class A Surfaces)</t>
  </si>
  <si>
    <r>
      <t>D</t>
    </r>
    <r>
      <rPr>
        <vertAlign val="subscript"/>
        <sz val="10"/>
        <rFont val="Arial"/>
        <family val="2"/>
      </rPr>
      <t>u</t>
    </r>
  </si>
  <si>
    <r>
      <t>T</t>
    </r>
    <r>
      <rPr>
        <vertAlign val="subscript"/>
        <sz val="10"/>
        <rFont val="Arial"/>
        <family val="2"/>
      </rPr>
      <t>b</t>
    </r>
  </si>
  <si>
    <r>
      <t>N</t>
    </r>
    <r>
      <rPr>
        <vertAlign val="subscript"/>
        <sz val="10"/>
        <rFont val="Arial"/>
        <family val="2"/>
      </rPr>
      <t>s</t>
    </r>
  </si>
  <si>
    <r>
      <t>r</t>
    </r>
    <r>
      <rPr>
        <vertAlign val="subscript"/>
        <sz val="10"/>
        <rFont val="Arial"/>
        <family val="2"/>
      </rPr>
      <t>n</t>
    </r>
  </si>
  <si>
    <t>Nb</t>
  </si>
  <si>
    <t>bolts</t>
  </si>
  <si>
    <t>kips/connection</t>
  </si>
  <si>
    <r>
      <t>N</t>
    </r>
    <r>
      <rPr>
        <vertAlign val="subscript"/>
        <sz val="10"/>
        <rFont val="Arial"/>
        <family val="2"/>
      </rPr>
      <t>b</t>
    </r>
  </si>
  <si>
    <r>
      <t>R</t>
    </r>
    <r>
      <rPr>
        <vertAlign val="subscript"/>
        <sz val="10"/>
        <rFont val="Arial"/>
        <family val="2"/>
      </rPr>
      <t>n</t>
    </r>
  </si>
  <si>
    <r>
      <t>f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</si>
  <si>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</si>
  <si>
    <r>
      <t>f</t>
    </r>
    <r>
      <rPr>
        <sz val="10"/>
        <rFont val="Arial"/>
        <family val="0"/>
      </rPr>
      <t xml:space="preserve"> =</t>
    </r>
  </si>
  <si>
    <r>
      <t>W</t>
    </r>
    <r>
      <rPr>
        <sz val="10"/>
        <rFont val="Arial"/>
        <family val="0"/>
      </rPr>
      <t xml:space="preserve"> =</t>
    </r>
  </si>
  <si>
    <t>Composite load factor for LRFD: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</si>
  <si>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</si>
  <si>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s,equiv</t>
    </r>
  </si>
  <si>
    <t>% DL</t>
  </si>
  <si>
    <t>% LL</t>
  </si>
  <si>
    <t>The controlling load case is LRFD LC2</t>
  </si>
  <si>
    <t>Bearing Capacity - See specification J3.6</t>
  </si>
  <si>
    <r>
      <t>A</t>
    </r>
    <r>
      <rPr>
        <vertAlign val="subscript"/>
        <sz val="10"/>
        <rFont val="Arial"/>
        <family val="2"/>
      </rPr>
      <t>b</t>
    </r>
  </si>
  <si>
    <t>ksi (from Table J3.2)</t>
  </si>
  <si>
    <r>
      <t>F</t>
    </r>
    <r>
      <rPr>
        <vertAlign val="subscript"/>
        <sz val="10"/>
        <rFont val="Arial"/>
        <family val="2"/>
      </rPr>
      <t>nv</t>
    </r>
  </si>
  <si>
    <r>
      <t>in</t>
    </r>
    <r>
      <rPr>
        <vertAlign val="superscript"/>
        <sz val="10"/>
        <rFont val="Arial"/>
        <family val="2"/>
      </rPr>
      <t>2</t>
    </r>
  </si>
  <si>
    <t>kips/shear plane</t>
  </si>
  <si>
    <t>shear planes/bolt</t>
  </si>
  <si>
    <t>&lt;--- max. load that ensures no slip</t>
  </si>
  <si>
    <t>&lt;--- max. load that ensures no bolt shear failure</t>
  </si>
  <si>
    <r>
      <t>f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</si>
  <si>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</t>
    </r>
  </si>
  <si>
    <t>Given:</t>
  </si>
  <si>
    <t>% E</t>
  </si>
  <si>
    <t>The controlling load case is LRFD LC5</t>
  </si>
  <si>
    <t>The controlling load case is ASD LC5</t>
  </si>
  <si>
    <t>Composite load factor for ASD:</t>
  </si>
  <si>
    <t>(Class B Surfaces)</t>
  </si>
  <si>
    <t>Notice that if the extra work is put into creating Class B faying surfaces that</t>
  </si>
  <si>
    <t>the slip capacity approaches the bolt strength (bearing) capacity.</t>
  </si>
  <si>
    <t>% W</t>
  </si>
  <si>
    <t>The controlling load case is LRFD LC4</t>
  </si>
  <si>
    <t>The controlling load case is ASD LC4</t>
  </si>
  <si>
    <t>Slip Critical Connection</t>
  </si>
  <si>
    <t>Tensile Rupture Limit State - Section J3.6</t>
  </si>
  <si>
    <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</si>
  <si>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</t>
    </r>
  </si>
  <si>
    <t>ksi (Table J3.2)</t>
  </si>
  <si>
    <t>k/bolt</t>
  </si>
  <si>
    <r>
      <t>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</si>
  <si>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</si>
  <si>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</si>
  <si>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k/connection</t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</si>
  <si>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</si>
  <si>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Load Components</t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</si>
  <si>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</si>
  <si>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</si>
  <si>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brace</t>
    </r>
  </si>
  <si>
    <r>
      <t>P</t>
    </r>
    <r>
      <rPr>
        <vertAlign val="subscript"/>
        <sz val="10"/>
        <rFont val="Arial"/>
        <family val="2"/>
      </rPr>
      <t>brace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</si>
  <si>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vs,eq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</si>
  <si>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Bearing Connection</t>
  </si>
  <si>
    <t>Shear Rupture Limit State - Section J3.6</t>
  </si>
  <si>
    <t>Slip Limit State - Section J3.8 and J3.9</t>
  </si>
  <si>
    <t>Pv,seq =</t>
  </si>
  <si>
    <t>all given on the drawing.  Assume that the load transfer consists of only Wind Load (100%).</t>
  </si>
  <si>
    <t>Assume that the load transferred consists of Dead Load (30%) and Seismic Load (70%).</t>
  </si>
  <si>
    <r>
      <t>P</t>
    </r>
    <r>
      <rPr>
        <b/>
        <vertAlign val="subscript"/>
        <sz val="10"/>
        <rFont val="Arial"/>
        <family val="2"/>
      </rPr>
      <t>brace</t>
    </r>
    <r>
      <rPr>
        <b/>
        <sz val="10"/>
        <rFont val="Arial"/>
        <family val="2"/>
      </rPr>
      <t xml:space="preserve"> =</t>
    </r>
  </si>
  <si>
    <t>Tension Rupture Limit State - Sections J3.6 &amp; J3.7</t>
  </si>
  <si>
    <r>
      <t>P</t>
    </r>
    <r>
      <rPr>
        <vertAlign val="subscript"/>
        <sz val="10"/>
        <rFont val="Arial"/>
        <family val="2"/>
      </rPr>
      <t>ts,eq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</si>
  <si>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b/>
        <vertAlign val="subscript"/>
        <sz val="10"/>
        <rFont val="Arial"/>
        <family val="2"/>
      </rPr>
      <t>brace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&lt;</t>
    </r>
  </si>
  <si>
    <t>Without J3.9 reduction:</t>
  </si>
  <si>
    <t>With req'd J3.7 reduction:</t>
  </si>
  <si>
    <t>Part (a) Slip Critical</t>
  </si>
  <si>
    <t>Tensile Rupture</t>
  </si>
  <si>
    <t>Part (b) Bearing</t>
  </si>
  <si>
    <t>Controlling Limit</t>
  </si>
  <si>
    <t>&lt;--- Controls</t>
  </si>
  <si>
    <t>The bolt information is given on the drawing.</t>
  </si>
  <si>
    <t>Determine the bearing capacity of the connection using the elastic method.</t>
  </si>
  <si>
    <t>Determine the bearing capacity of the connection using the IC method.</t>
  </si>
  <si>
    <t>shear planes</t>
  </si>
  <si>
    <t>Compute the coefficient that relates applied load to maximum bolt force:</t>
  </si>
  <si>
    <t>Let P =</t>
  </si>
  <si>
    <r>
      <t>d</t>
    </r>
    <r>
      <rPr>
        <sz val="10"/>
        <rFont val="Arial"/>
        <family val="0"/>
      </rPr>
      <t xml:space="preserve"> = </t>
    </r>
  </si>
  <si>
    <t>deg</t>
  </si>
  <si>
    <r>
      <t>P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</si>
  <si>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</t>
    </r>
  </si>
  <si>
    <t>e =</t>
  </si>
  <si>
    <t>M = Pe =</t>
  </si>
  <si>
    <t>in-k</t>
  </si>
  <si>
    <t>k</t>
  </si>
  <si>
    <t>Assume that the applied load is 50% D and 50% L.</t>
  </si>
  <si>
    <t>% D</t>
  </si>
  <si>
    <t>% L</t>
  </si>
  <si>
    <t>The controlling load case is ASD LC2</t>
  </si>
  <si>
    <t>Bolt</t>
  </si>
  <si>
    <t>(in)</t>
  </si>
  <si>
    <r>
      <t>c</t>
    </r>
    <r>
      <rPr>
        <vertAlign val="subscript"/>
        <sz val="10"/>
        <rFont val="Arial"/>
        <family val="2"/>
      </rPr>
      <t>x</t>
    </r>
  </si>
  <si>
    <r>
      <t>c</t>
    </r>
    <r>
      <rPr>
        <vertAlign val="subscript"/>
        <sz val="10"/>
        <rFont val="Arial"/>
        <family val="2"/>
      </rPr>
      <t>y</t>
    </r>
  </si>
  <si>
    <t>c</t>
  </si>
  <si>
    <r>
      <t>r</t>
    </r>
    <r>
      <rPr>
        <vertAlign val="subscript"/>
        <sz val="10"/>
        <rFont val="Arial"/>
        <family val="2"/>
      </rPr>
      <t>px</t>
    </r>
  </si>
  <si>
    <r>
      <t>r</t>
    </r>
    <r>
      <rPr>
        <vertAlign val="subscript"/>
        <sz val="10"/>
        <rFont val="Arial"/>
        <family val="2"/>
      </rPr>
      <t>py</t>
    </r>
  </si>
  <si>
    <t>(in-k)</t>
  </si>
  <si>
    <r>
      <t>r</t>
    </r>
    <r>
      <rPr>
        <vertAlign val="subscript"/>
        <sz val="10"/>
        <rFont val="Arial"/>
        <family val="2"/>
      </rPr>
      <t>mx</t>
    </r>
  </si>
  <si>
    <r>
      <t>r</t>
    </r>
    <r>
      <rPr>
        <vertAlign val="subscript"/>
        <sz val="10"/>
        <rFont val="Arial"/>
        <family val="2"/>
      </rPr>
      <t>my</t>
    </r>
  </si>
  <si>
    <r>
      <t>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</si>
  <si>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I</t>
    </r>
    <r>
      <rPr>
        <vertAlign val="subscript"/>
        <sz val="10"/>
        <rFont val="Arial"/>
        <family val="2"/>
      </rPr>
      <t>x</t>
    </r>
  </si>
  <si>
    <t>Iy</t>
  </si>
  <si>
    <r>
      <t>in</t>
    </r>
    <r>
      <rPr>
        <vertAlign val="superscript"/>
        <sz val="10"/>
        <rFont val="Arial"/>
        <family val="2"/>
      </rPr>
      <t>4</t>
    </r>
  </si>
  <si>
    <r>
      <t>I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</si>
  <si>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x</t>
    </r>
  </si>
  <si>
    <r>
      <t>r</t>
    </r>
    <r>
      <rPr>
        <vertAlign val="subscript"/>
        <sz val="10"/>
        <rFont val="Arial"/>
        <family val="2"/>
      </rPr>
      <t>y</t>
    </r>
  </si>
  <si>
    <t>r</t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</si>
  <si>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</si>
  <si>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C = P/r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</t>
    </r>
  </si>
  <si>
    <t>Compute the bolt forces:</t>
  </si>
  <si>
    <t>Compute bolt geometry quantities:</t>
  </si>
  <si>
    <r>
      <t>Using the coefficent, we can now compute the capacities using P = C*r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:</t>
    </r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</si>
  <si>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f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</si>
  <si>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</si>
  <si>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</si>
  <si>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</si>
  <si>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Bearing Capacity - Elastic Method</t>
  </si>
  <si>
    <r>
      <t>P</t>
    </r>
    <r>
      <rPr>
        <b/>
        <vertAlign val="subscript"/>
        <sz val="10"/>
        <rFont val="Arial"/>
        <family val="2"/>
      </rPr>
      <t>s,eq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&lt;</t>
    </r>
  </si>
  <si>
    <t>Solution (a):</t>
  </si>
  <si>
    <t>Solution (b):</t>
  </si>
  <si>
    <t>Bearing Capacity - IC Method</t>
  </si>
  <si>
    <r>
      <t>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</si>
  <si>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ult</t>
    </r>
    <r>
      <rPr>
        <sz val="10"/>
        <rFont val="Arial"/>
        <family val="0"/>
      </rPr>
      <t xml:space="preserve"> =</t>
    </r>
  </si>
  <si>
    <t>max =</t>
  </si>
  <si>
    <t>D</t>
  </si>
  <si>
    <t>Locate the IC relative to the bolt CG</t>
  </si>
  <si>
    <r>
      <t>c</t>
    </r>
    <r>
      <rPr>
        <vertAlign val="subscript"/>
        <sz val="10"/>
        <rFont val="Arial"/>
        <family val="2"/>
      </rPr>
      <t>xic</t>
    </r>
  </si>
  <si>
    <r>
      <t>c</t>
    </r>
    <r>
      <rPr>
        <vertAlign val="subscript"/>
        <sz val="10"/>
        <rFont val="Arial"/>
        <family val="2"/>
      </rPr>
      <t>yic</t>
    </r>
  </si>
  <si>
    <r>
      <t>c</t>
    </r>
    <r>
      <rPr>
        <vertAlign val="subscript"/>
        <sz val="10"/>
        <rFont val="Arial"/>
        <family val="2"/>
      </rPr>
      <t>ic</t>
    </r>
  </si>
  <si>
    <r>
      <t>c</t>
    </r>
    <r>
      <rPr>
        <vertAlign val="subscript"/>
        <sz val="10"/>
        <rFont val="Arial"/>
        <family val="2"/>
      </rPr>
      <t>xcg</t>
    </r>
  </si>
  <si>
    <r>
      <t>c</t>
    </r>
    <r>
      <rPr>
        <vertAlign val="subscript"/>
        <sz val="10"/>
        <rFont val="Arial"/>
        <family val="2"/>
      </rPr>
      <t>ycg</t>
    </r>
  </si>
  <si>
    <t>Compute bolt geometry and deformation quantities:</t>
  </si>
  <si>
    <r>
      <t>r*c</t>
    </r>
    <r>
      <rPr>
        <vertAlign val="subscript"/>
        <sz val="10"/>
        <rFont val="Arial"/>
        <family val="2"/>
      </rPr>
      <t>ic</t>
    </r>
  </si>
  <si>
    <t>sums =</t>
  </si>
  <si>
    <t xml:space="preserve">P = </t>
  </si>
  <si>
    <t>Differences</t>
  </si>
  <si>
    <t>x</t>
  </si>
  <si>
    <t>y</t>
  </si>
  <si>
    <t>IC</t>
  </si>
  <si>
    <t>CG</t>
  </si>
  <si>
    <t>Load</t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</si>
  <si>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</t>
    </r>
  </si>
  <si>
    <t>Computations for ro</t>
  </si>
  <si>
    <t>Elastic</t>
  </si>
  <si>
    <t>Given:  The following data:</t>
  </si>
  <si>
    <t>Eccentric Load</t>
  </si>
  <si>
    <t xml:space="preserve">   DL</t>
  </si>
  <si>
    <t xml:space="preserve">   LL</t>
  </si>
  <si>
    <t>Eccentricity:</t>
  </si>
  <si>
    <t>tf</t>
  </si>
  <si>
    <t>ksi</t>
  </si>
  <si>
    <t>in^2</t>
  </si>
  <si>
    <t>Solution Summary</t>
  </si>
  <si>
    <t>a</t>
  </si>
  <si>
    <t>b</t>
  </si>
  <si>
    <t>part (a)</t>
  </si>
  <si>
    <t>number of rows</t>
  </si>
  <si>
    <t>Row spacing</t>
  </si>
  <si>
    <t>n'</t>
  </si>
  <si>
    <t>dm</t>
  </si>
  <si>
    <t>Shear Strength of Bolts (J3.6)</t>
  </si>
  <si>
    <t>k/shear plane</t>
  </si>
  <si>
    <t>Shear Planes</t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</si>
  <si>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 </t>
    </r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</si>
  <si>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</si>
  <si>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</si>
  <si>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Tension Strength of Bolts (J3.6)</t>
  </si>
  <si>
    <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</si>
  <si>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t>d</t>
  </si>
  <si>
    <t xml:space="preserve">Determine the capacity of the connection based on bolt strength as specified below.  Consider both LRFD and ASD.  </t>
  </si>
  <si>
    <t>part (a) use the SCM Case I method</t>
  </si>
  <si>
    <t>part (b) use the SCM Case II Method</t>
  </si>
  <si>
    <t>part (b)</t>
  </si>
  <si>
    <t xml:space="preserve">Using SCM Case II (SCM page 7-12): </t>
  </si>
  <si>
    <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</si>
  <si>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CLF</t>
  </si>
  <si>
    <t>Case II</t>
  </si>
  <si>
    <t xml:space="preserve">   Tension limit</t>
  </si>
  <si>
    <t xml:space="preserve">   Shear limit</t>
  </si>
  <si>
    <r>
      <t>F</t>
    </r>
    <r>
      <rPr>
        <vertAlign val="subscript"/>
        <sz val="10"/>
        <rFont val="Arial"/>
        <family val="2"/>
      </rPr>
      <t>nt</t>
    </r>
  </si>
  <si>
    <r>
      <t>Note that you will have to solve the design inequalities for 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and 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.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</si>
  <si>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/ n</t>
    </r>
    <r>
      <rPr>
        <vertAlign val="subscript"/>
        <sz val="10"/>
        <rFont val="Arial"/>
        <family val="2"/>
      </rPr>
      <t>b</t>
    </r>
  </si>
  <si>
    <r>
      <t>r</t>
    </r>
    <r>
      <rPr>
        <vertAlign val="subscript"/>
        <sz val="10"/>
        <rFont val="Arial"/>
        <family val="2"/>
      </rPr>
      <t>uv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nuv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f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</si>
  <si>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av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nav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</si>
  <si>
    <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</si>
  <si>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</si>
  <si>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a,max</t>
    </r>
    <r>
      <rPr>
        <sz val="10"/>
        <rFont val="Arial"/>
        <family val="0"/>
      </rPr>
      <t xml:space="preserve"> =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</si>
  <si>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 xml:space="preserve">u,max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</si>
  <si>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 xml:space="preserve">   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</si>
  <si>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/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</si>
  <si>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</si>
  <si>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 </t>
    </r>
    <r>
      <rPr>
        <u val="single"/>
        <sz val="10"/>
        <rFont val="Arial"/>
        <family val="2"/>
      </rPr>
      <t>&lt;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</si>
  <si>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 EQ J3-3a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</si>
  <si>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 EQ J3-3b</t>
    </r>
  </si>
  <si>
    <t>Case I</t>
  </si>
  <si>
    <t>Controlling Value</t>
  </si>
  <si>
    <t xml:space="preserve">Using SCM Case I (SCM page 7-10): </t>
  </si>
  <si>
    <t>bf</t>
  </si>
  <si>
    <t>Determine Section properties:  Ix and c</t>
  </si>
  <si>
    <t>Depth =</t>
  </si>
  <si>
    <t>beff =</t>
  </si>
  <si>
    <t>Bolt table</t>
  </si>
  <si>
    <t>Row #</t>
  </si>
  <si>
    <t>depth</t>
  </si>
  <si>
    <t>Ay</t>
  </si>
  <si>
    <t>Area</t>
  </si>
  <si>
    <t>beff*d*d/2</t>
  </si>
  <si>
    <r>
      <t>in</t>
    </r>
    <r>
      <rPr>
        <vertAlign val="superscript"/>
        <sz val="10"/>
        <rFont val="Arial"/>
        <family val="2"/>
      </rPr>
      <t>3</t>
    </r>
  </si>
  <si>
    <t>sum(Ay) =</t>
  </si>
  <si>
    <t>beff*d*d/2-sum(Ay)</t>
  </si>
  <si>
    <t>&lt;--- find the "d" that makes this zero</t>
  </si>
  <si>
    <t>y = c</t>
  </si>
  <si>
    <r>
      <t>Ay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</si>
  <si>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 beff*d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/3 + sum(Ay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=</t>
    </r>
  </si>
  <si>
    <r>
      <t>* either 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or P</t>
    </r>
    <r>
      <rPr>
        <vertAlign val="subscript"/>
        <sz val="10"/>
        <rFont val="Arial"/>
        <family val="2"/>
      </rPr>
      <t>u</t>
    </r>
  </si>
  <si>
    <t>&lt;---- Answer (a)</t>
  </si>
  <si>
    <t>&lt;---- Answer (b)</t>
  </si>
  <si>
    <r>
      <t>sum(Ay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=</t>
    </r>
  </si>
  <si>
    <r>
      <t>Number of bolts, n</t>
    </r>
    <r>
      <rPr>
        <vertAlign val="subscript"/>
        <sz val="10"/>
        <rFont val="Arial"/>
        <family val="2"/>
      </rPr>
      <t>b</t>
    </r>
  </si>
  <si>
    <r>
      <t>Max bolt tension, r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=</t>
    </r>
  </si>
  <si>
    <r>
      <t>Check limit on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:</t>
    </r>
  </si>
  <si>
    <r>
      <t>f</t>
    </r>
    <r>
      <rPr>
        <sz val="10"/>
        <rFont val="Arial"/>
        <family val="0"/>
      </rPr>
      <t xml:space="preserve"> min[1.3F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- (F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/</t>
    </r>
    <r>
      <rPr>
        <sz val="10"/>
        <rFont val="Symbol"/>
        <family val="1"/>
      </rPr>
      <t>f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)(P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/n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 ,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]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ut</t>
    </r>
  </si>
  <si>
    <r>
      <t>min[1.3F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- (</t>
    </r>
    <r>
      <rPr>
        <sz val="10"/>
        <rFont val="Symbol"/>
        <family val="1"/>
      </rPr>
      <t>W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/F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)(P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/n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 ,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]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0"/>
      </rPr>
      <t xml:space="preserve"> </t>
    </r>
  </si>
  <si>
    <t>by:  TBQ</t>
  </si>
  <si>
    <t>W14x61</t>
  </si>
  <si>
    <t>WT6x13</t>
  </si>
  <si>
    <t>Column:</t>
  </si>
  <si>
    <t>Bracket:</t>
  </si>
  <si>
    <r>
      <t>atan(</t>
    </r>
    <r>
      <rPr>
        <sz val="10"/>
        <rFont val="Symbol"/>
        <family val="1"/>
      </rPr>
      <t>d</t>
    </r>
    <r>
      <rPr>
        <sz val="10"/>
        <rFont val="Arial"/>
        <family val="0"/>
      </rPr>
      <t>) =</t>
    </r>
  </si>
  <si>
    <r>
      <t>r</t>
    </r>
    <r>
      <rPr>
        <vertAlign val="subscript"/>
        <sz val="10"/>
        <rFont val="Arial"/>
        <family val="2"/>
      </rPr>
      <t>ox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</si>
  <si>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oy</t>
    </r>
    <r>
      <rPr>
        <sz val="10"/>
        <rFont val="Arial"/>
        <family val="2"/>
      </rPr>
      <t xml:space="preserve"> =</t>
    </r>
  </si>
  <si>
    <t>These values found by computing</t>
  </si>
  <si>
    <t xml:space="preserve">the intersection of two line whose </t>
  </si>
  <si>
    <t>slope we know and a point that each</t>
  </si>
  <si>
    <t>passes through.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</si>
  <si>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</si>
  <si>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(kips)</t>
  </si>
  <si>
    <t>Example Problem 4.5</t>
  </si>
  <si>
    <t>Example Problem 4.4b</t>
  </si>
  <si>
    <t>Example Problem 4.4a</t>
  </si>
  <si>
    <t>Example Problem 4.3</t>
  </si>
  <si>
    <t>Example Problem 4.2</t>
  </si>
  <si>
    <t>Example Problem 4.1</t>
  </si>
  <si>
    <r>
      <t>P</t>
    </r>
    <r>
      <rPr>
        <vertAlign val="subscript"/>
        <sz val="10"/>
        <rFont val="Arial"/>
        <family val="2"/>
      </rPr>
      <t>s,eq</t>
    </r>
  </si>
  <si>
    <t>The controlling load cases are LRFD LC2  abd ASD LC2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</si>
  <si>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</si>
  <si>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s,</t>
    </r>
    <r>
      <rPr>
        <vertAlign val="subscript"/>
        <sz val="10"/>
        <rFont val="Arial"/>
        <family val="2"/>
      </rPr>
      <t>eq</t>
    </r>
  </si>
  <si>
    <t xml:space="preserve">A lap splice is connected with (11) A325-X bolts as shown.  </t>
  </si>
  <si>
    <t>bolts:</t>
  </si>
  <si>
    <t xml:space="preserve">   3/4" dia</t>
  </si>
  <si>
    <t xml:space="preserve">   A325-X</t>
  </si>
  <si>
    <t xml:space="preserve">   pretensioned</t>
  </si>
  <si>
    <t xml:space="preserve">   in standard holes</t>
  </si>
  <si>
    <t>Class A faying surfaces</t>
  </si>
  <si>
    <t>Class B faying surfaces</t>
  </si>
  <si>
    <t>A splice plate connection is used to connect two WTs together as shown.</t>
  </si>
  <si>
    <t xml:space="preserve">The connection is subjected to axial tension, P.  </t>
  </si>
  <si>
    <t>Express your results in terms of comparable service level loads.</t>
  </si>
  <si>
    <t>Allowable Brace Force (at comparable service load levels)</t>
  </si>
  <si>
    <t xml:space="preserve">   A325-N</t>
  </si>
  <si>
    <t xml:space="preserve">   A490-N</t>
  </si>
  <si>
    <t xml:space="preserve">   7/8" dia</t>
  </si>
  <si>
    <r>
      <t>P</t>
    </r>
    <r>
      <rPr>
        <b/>
        <vertAlign val="subscript"/>
        <sz val="10"/>
        <rFont val="Arial"/>
        <family val="2"/>
      </rPr>
      <t xml:space="preserve">s,eq </t>
    </r>
    <r>
      <rPr>
        <b/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</si>
  <si>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a,max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</si>
  <si>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t>The connection is subjected to axial tension, P.  Bolt size, type, location, etc. are</t>
  </si>
  <si>
    <t>A WT is bolted to a W section as part of a beam/brace connection as shown.</t>
  </si>
  <si>
    <t>A bracket is connected to a column flange as shown.</t>
  </si>
  <si>
    <t>last modified:  7 July 2011</t>
  </si>
  <si>
    <t>A Beginner's Guide to the Steel Construction Manual, 14th ed</t>
  </si>
  <si>
    <r>
      <t>h</t>
    </r>
    <r>
      <rPr>
        <vertAlign val="subscript"/>
        <sz val="10"/>
        <rFont val="Arial"/>
        <family val="2"/>
      </rPr>
      <t>f</t>
    </r>
  </si>
  <si>
    <t>No fillers</t>
  </si>
  <si>
    <t>(std holes)</t>
  </si>
  <si>
    <r>
      <t>n</t>
    </r>
    <r>
      <rPr>
        <vertAlign val="subscript"/>
        <sz val="10"/>
        <rFont val="Arial"/>
        <family val="2"/>
      </rPr>
      <t>s</t>
    </r>
  </si>
  <si>
    <r>
      <t>n</t>
    </r>
    <r>
      <rPr>
        <vertAlign val="subscript"/>
        <sz val="10"/>
        <rFont val="Arial"/>
        <family val="2"/>
      </rPr>
      <t>b</t>
    </r>
  </si>
  <si>
    <t>(no fillers)</t>
  </si>
  <si>
    <r>
      <t>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</si>
  <si>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 =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</si>
  <si>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</si>
  <si>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 =</t>
    </r>
  </si>
  <si>
    <r>
      <t>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</si>
</sst>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  <numFmt numFmtId="172" formatCode="0.0000"/>
    <numFmt numFmtId="173" formatCode="0.000000"/>
  </numFmts>
  <fonts count="53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29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0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9" fontId="0" fillId="0" borderId="0" xfId="6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166" fontId="0" fillId="34" borderId="18" xfId="0" applyNumberFormat="1" applyFill="1" applyBorder="1" applyAlignment="1" applyProtection="1">
      <alignment horizontal="center"/>
      <protection hidden="1"/>
    </xf>
    <xf numFmtId="1" fontId="0" fillId="0" borderId="19" xfId="0" applyNumberFormat="1" applyBorder="1" applyAlignment="1" applyProtection="1">
      <alignment horizontal="center"/>
      <protection hidden="1"/>
    </xf>
    <xf numFmtId="1" fontId="0" fillId="34" borderId="20" xfId="0" applyNumberFormat="1" applyFill="1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2" fontId="0" fillId="0" borderId="10" xfId="0" applyNumberFormat="1" applyBorder="1" applyAlignment="1" applyProtection="1">
      <alignment/>
      <protection hidden="1"/>
    </xf>
    <xf numFmtId="0" fontId="0" fillId="35" borderId="0" xfId="0" applyFill="1" applyAlignment="1" applyProtection="1">
      <alignment/>
      <protection locked="0"/>
    </xf>
    <xf numFmtId="9" fontId="0" fillId="35" borderId="0" xfId="60" applyFont="1" applyFill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1" fontId="0" fillId="34" borderId="11" xfId="0" applyNumberFormat="1" applyFill="1" applyBorder="1" applyAlignment="1" applyProtection="1">
      <alignment horizontal="center"/>
      <protection hidden="1"/>
    </xf>
    <xf numFmtId="1" fontId="0" fillId="0" borderId="11" xfId="0" applyNumberFormat="1" applyFill="1" applyBorder="1" applyAlignment="1" applyProtection="1">
      <alignment horizontal="center"/>
      <protection hidden="1"/>
    </xf>
    <xf numFmtId="1" fontId="0" fillId="34" borderId="18" xfId="0" applyNumberFormat="1" applyFill="1" applyBorder="1" applyAlignment="1" applyProtection="1">
      <alignment horizontal="center"/>
      <protection hidden="1"/>
    </xf>
    <xf numFmtId="1" fontId="0" fillId="34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66" fontId="0" fillId="34" borderId="15" xfId="0" applyNumberForma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1" fontId="1" fillId="34" borderId="0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1" fontId="1" fillId="34" borderId="0" xfId="0" applyNumberFormat="1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66" fontId="1" fillId="34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hidden="1"/>
    </xf>
    <xf numFmtId="166" fontId="1" fillId="34" borderId="0" xfId="0" applyNumberFormat="1" applyFont="1" applyFill="1" applyBorder="1" applyAlignment="1" applyProtection="1">
      <alignment horizontal="center"/>
      <protection hidden="1"/>
    </xf>
    <xf numFmtId="166" fontId="1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165" fontId="0" fillId="0" borderId="18" xfId="0" applyNumberForma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165" fontId="0" fillId="0" borderId="10" xfId="0" applyNumberFormat="1" applyBorder="1" applyAlignment="1" applyProtection="1">
      <alignment horizontal="center"/>
      <protection hidden="1"/>
    </xf>
    <xf numFmtId="165" fontId="0" fillId="0" borderId="20" xfId="0" applyNumberFormat="1" applyBorder="1" applyAlignment="1" applyProtection="1">
      <alignment horizontal="center"/>
      <protection hidden="1"/>
    </xf>
    <xf numFmtId="165" fontId="0" fillId="0" borderId="0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165" fontId="0" fillId="34" borderId="0" xfId="0" applyNumberForma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166" fontId="0" fillId="34" borderId="0" xfId="0" applyNumberFormat="1" applyFill="1" applyAlignment="1" applyProtection="1">
      <alignment/>
      <protection hidden="1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166" fontId="0" fillId="0" borderId="12" xfId="0" applyNumberFormat="1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66" fontId="0" fillId="0" borderId="10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2" fontId="0" fillId="36" borderId="0" xfId="0" applyNumberFormat="1" applyFill="1" applyAlignment="1" applyProtection="1">
      <alignment horizontal="center"/>
      <protection hidden="1"/>
    </xf>
    <xf numFmtId="166" fontId="0" fillId="0" borderId="14" xfId="0" applyNumberFormat="1" applyBorder="1" applyAlignment="1" applyProtection="1">
      <alignment horizontal="center"/>
      <protection hidden="1"/>
    </xf>
    <xf numFmtId="166" fontId="0" fillId="35" borderId="0" xfId="0" applyNumberFormat="1" applyFill="1" applyAlignment="1" applyProtection="1">
      <alignment/>
      <protection locked="0"/>
    </xf>
    <xf numFmtId="165" fontId="0" fillId="35" borderId="0" xfId="0" applyNumberFormat="1" applyFill="1" applyAlignment="1" applyProtection="1">
      <alignment/>
      <protection locked="0"/>
    </xf>
    <xf numFmtId="2" fontId="0" fillId="37" borderId="0" xfId="0" applyNumberFormat="1" applyFill="1" applyAlignment="1" applyProtection="1">
      <alignment horizontal="center"/>
      <protection locked="0"/>
    </xf>
    <xf numFmtId="9" fontId="0" fillId="0" borderId="0" xfId="60" applyFont="1" applyFill="1" applyAlignment="1" applyProtection="1">
      <alignment/>
      <protection locked="0"/>
    </xf>
    <xf numFmtId="2" fontId="1" fillId="29" borderId="0" xfId="47" applyFont="1" applyAlignment="1" applyProtection="1">
      <alignment/>
      <protection hidden="1"/>
    </xf>
    <xf numFmtId="2" fontId="0" fillId="29" borderId="0" xfId="47" applyFont="1" applyAlignment="1" applyProtection="1">
      <alignment/>
      <protection hidden="1"/>
    </xf>
    <xf numFmtId="9" fontId="0" fillId="29" borderId="0" xfId="6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0" fontId="0" fillId="38" borderId="11" xfId="0" applyFill="1" applyBorder="1" applyAlignment="1" applyProtection="1">
      <alignment horizontal="center"/>
      <protection hidden="1"/>
    </xf>
    <xf numFmtId="0" fontId="0" fillId="38" borderId="21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right"/>
      <protection hidden="1"/>
    </xf>
    <xf numFmtId="2" fontId="0" fillId="38" borderId="13" xfId="0" applyNumberFormat="1" applyFill="1" applyBorder="1" applyAlignment="1" applyProtection="1">
      <alignment horizontal="center"/>
      <protection hidden="1"/>
    </xf>
    <xf numFmtId="2" fontId="0" fillId="38" borderId="22" xfId="0" applyNumberForma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/>
      <protection hidden="1"/>
    </xf>
    <xf numFmtId="2" fontId="1" fillId="38" borderId="19" xfId="0" applyNumberFormat="1" applyFont="1" applyFill="1" applyBorder="1" applyAlignment="1" applyProtection="1">
      <alignment horizontal="center"/>
      <protection hidden="1"/>
    </xf>
    <xf numFmtId="2" fontId="1" fillId="38" borderId="24" xfId="0" applyNumberFormat="1" applyFont="1" applyFill="1" applyBorder="1" applyAlignment="1" applyProtection="1">
      <alignment horizontal="center"/>
      <protection hidden="1"/>
    </xf>
    <xf numFmtId="0" fontId="0" fillId="38" borderId="13" xfId="0" applyFill="1" applyBorder="1" applyAlignment="1" applyProtection="1">
      <alignment horizontal="center"/>
      <protection hidden="1"/>
    </xf>
    <xf numFmtId="0" fontId="0" fillId="38" borderId="22" xfId="0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172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2" fontId="0" fillId="29" borderId="0" xfId="47" applyFont="1" applyAlignment="1" applyProtection="1">
      <alignment vertical="center"/>
      <protection hidden="1"/>
    </xf>
    <xf numFmtId="0" fontId="1" fillId="39" borderId="0" xfId="0" applyFont="1" applyFill="1" applyAlignment="1" applyProtection="1">
      <alignment vertical="center"/>
      <protection hidden="1"/>
    </xf>
    <xf numFmtId="0" fontId="1" fillId="39" borderId="0" xfId="0" applyFont="1" applyFill="1" applyAlignment="1" applyProtection="1">
      <alignment/>
      <protection hidden="1"/>
    </xf>
    <xf numFmtId="2" fontId="1" fillId="40" borderId="0" xfId="47" applyFont="1" applyFill="1" applyAlignment="1" applyProtection="1">
      <alignment vertical="center"/>
      <protection hidden="1"/>
    </xf>
    <xf numFmtId="2" fontId="1" fillId="29" borderId="0" xfId="47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hidden="1"/>
    </xf>
    <xf numFmtId="172" fontId="0" fillId="35" borderId="0" xfId="0" applyNumberFormat="1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166" fontId="0" fillId="0" borderId="13" xfId="0" applyNumberForma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2" fontId="0" fillId="29" borderId="0" xfId="47" applyFont="1" applyAlignment="1" applyProtection="1">
      <alignment vertical="center"/>
      <protection hidden="1"/>
    </xf>
    <xf numFmtId="2" fontId="0" fillId="35" borderId="0" xfId="0" applyNumberFormat="1" applyFill="1" applyAlignment="1" applyProtection="1">
      <alignment/>
      <protection locked="0"/>
    </xf>
    <xf numFmtId="2" fontId="0" fillId="29" borderId="0" xfId="47" applyFont="1" applyAlignment="1" applyProtection="1">
      <alignment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25"/>
          <c:w val="0.79625"/>
          <c:h val="0.9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'Example 4.4b'!$K$65:$K$77</c:f>
              <c:numCache/>
            </c:numRef>
          </c:xVal>
          <c:yVal>
            <c:numRef>
              <c:f>'Example 4.4b'!$L$65:$L$77</c:f>
              <c:numCache/>
            </c:numRef>
          </c:yVal>
          <c:smooth val="0"/>
        </c:ser>
        <c:axId val="44717463"/>
        <c:axId val="66912848"/>
      </c:scatterChart>
      <c:valAx>
        <c:axId val="447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2848"/>
        <c:crosses val="autoZero"/>
        <c:crossBetween val="midCat"/>
        <c:dispUnits/>
      </c:valAx>
      <c:valAx>
        <c:axId val="6691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474"/>
          <c:w val="0.14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4.wmf" /><Relationship Id="rId5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55</xdr:row>
      <xdr:rowOff>161925</xdr:rowOff>
    </xdr:from>
    <xdr:to>
      <xdr:col>16</xdr:col>
      <xdr:colOff>38100</xdr:colOff>
      <xdr:row>78</xdr:row>
      <xdr:rowOff>95250</xdr:rowOff>
    </xdr:to>
    <xdr:graphicFrame>
      <xdr:nvGraphicFramePr>
        <xdr:cNvPr id="1" name="Chart 2"/>
        <xdr:cNvGraphicFramePr/>
      </xdr:nvGraphicFramePr>
      <xdr:xfrm>
        <a:off x="5962650" y="9410700"/>
        <a:ext cx="3829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9"/>
  <sheetViews>
    <sheetView showGridLines="0" tabSelected="1" zoomScalePageLayoutView="0" workbookViewId="0" topLeftCell="A1">
      <selection activeCell="B20" sqref="B20"/>
    </sheetView>
  </sheetViews>
  <sheetFormatPr defaultColWidth="9.140625" defaultRowHeight="12.75"/>
  <cols>
    <col min="1" max="16384" width="9.140625" style="1" customWidth="1"/>
  </cols>
  <sheetData>
    <row r="1" spans="1:8" ht="12.75">
      <c r="A1" s="3" t="s">
        <v>301</v>
      </c>
      <c r="H1" s="3" t="s">
        <v>300</v>
      </c>
    </row>
    <row r="2" spans="1:8" ht="12.75">
      <c r="A2" s="2" t="s">
        <v>275</v>
      </c>
      <c r="H2" s="1" t="s">
        <v>256</v>
      </c>
    </row>
    <row r="4" spans="1:2" ht="12.75">
      <c r="A4" s="2" t="s">
        <v>59</v>
      </c>
      <c r="B4" s="3" t="s">
        <v>280</v>
      </c>
    </row>
    <row r="5" spans="1:2" ht="12.75">
      <c r="A5" s="2"/>
      <c r="B5" s="3" t="s">
        <v>13</v>
      </c>
    </row>
    <row r="7" spans="2:4" ht="15.75">
      <c r="B7" s="1" t="s">
        <v>1</v>
      </c>
      <c r="C7" s="37">
        <v>0.75</v>
      </c>
      <c r="D7" s="1" t="s">
        <v>0</v>
      </c>
    </row>
    <row r="8" spans="2:3" ht="12.75">
      <c r="B8" s="4" t="s">
        <v>45</v>
      </c>
      <c r="C8" s="38">
        <v>0.4</v>
      </c>
    </row>
    <row r="9" spans="2:3" ht="12.75">
      <c r="B9" s="4" t="s">
        <v>46</v>
      </c>
      <c r="C9" s="5">
        <f>1-C8</f>
        <v>0.6</v>
      </c>
    </row>
    <row r="10" spans="2:3" ht="12.75">
      <c r="B10" s="4"/>
      <c r="C10" s="5"/>
    </row>
    <row r="11" spans="2:3" ht="12.75">
      <c r="B11" s="3" t="s">
        <v>281</v>
      </c>
      <c r="C11" s="5"/>
    </row>
    <row r="12" spans="2:3" ht="12.75">
      <c r="B12" s="3" t="s">
        <v>282</v>
      </c>
      <c r="C12" s="5"/>
    </row>
    <row r="13" spans="2:3" ht="12.75">
      <c r="B13" s="3" t="s">
        <v>283</v>
      </c>
      <c r="C13" s="5"/>
    </row>
    <row r="14" spans="2:3" ht="12.75">
      <c r="B14" s="3" t="s">
        <v>284</v>
      </c>
      <c r="C14" s="5"/>
    </row>
    <row r="15" spans="2:3" ht="12.75">
      <c r="B15" s="3" t="s">
        <v>285</v>
      </c>
      <c r="C15" s="5"/>
    </row>
    <row r="16" spans="2:3" ht="12.75">
      <c r="B16" s="4"/>
      <c r="C16" s="5"/>
    </row>
    <row r="17" spans="2:3" ht="12.75">
      <c r="B17" s="3" t="s">
        <v>286</v>
      </c>
      <c r="C17" s="5"/>
    </row>
    <row r="18" spans="2:3" ht="12.75">
      <c r="B18" s="4"/>
      <c r="C18" s="5"/>
    </row>
    <row r="19" spans="2:3" ht="12.75">
      <c r="B19" s="4"/>
      <c r="C19" s="5"/>
    </row>
    <row r="20" spans="2:3" ht="12.75">
      <c r="B20" s="4"/>
      <c r="C20" s="5"/>
    </row>
    <row r="21" spans="2:3" ht="12.75">
      <c r="B21" s="4"/>
      <c r="C21" s="5"/>
    </row>
    <row r="22" spans="2:3" ht="12.75">
      <c r="B22" s="4"/>
      <c r="C22" s="5"/>
    </row>
    <row r="23" spans="2:3" ht="12.75">
      <c r="B23" s="4"/>
      <c r="C23" s="5"/>
    </row>
    <row r="24" spans="2:3" ht="12.75">
      <c r="B24" s="4"/>
      <c r="C24" s="5"/>
    </row>
    <row r="25" spans="2:3" ht="12.75">
      <c r="B25" s="4"/>
      <c r="C25" s="5"/>
    </row>
    <row r="26" spans="1:2" ht="12.75">
      <c r="A26" s="2" t="s">
        <v>2</v>
      </c>
      <c r="B26" s="1" t="s">
        <v>14</v>
      </c>
    </row>
    <row r="27" spans="1:2" ht="12.75">
      <c r="A27" s="2"/>
      <c r="B27" s="1" t="s">
        <v>15</v>
      </c>
    </row>
    <row r="28" spans="1:2" ht="12.75">
      <c r="A28" s="2"/>
      <c r="B28" s="1" t="s">
        <v>16</v>
      </c>
    </row>
    <row r="29" ht="12.75">
      <c r="A29" s="2"/>
    </row>
    <row r="30" spans="1:2" ht="12.75">
      <c r="A30" s="6" t="s">
        <v>19</v>
      </c>
      <c r="B30" s="1" t="s">
        <v>17</v>
      </c>
    </row>
    <row r="31" spans="1:2" ht="12.75">
      <c r="A31" s="6" t="s">
        <v>20</v>
      </c>
      <c r="B31" s="1" t="s">
        <v>18</v>
      </c>
    </row>
    <row r="33" ht="12.75">
      <c r="A33" s="2" t="s">
        <v>3</v>
      </c>
    </row>
    <row r="34" ht="12.75">
      <c r="A34" s="3"/>
    </row>
    <row r="35" spans="1:3" ht="12.75">
      <c r="A35" s="7" t="s">
        <v>4</v>
      </c>
      <c r="B35" s="8"/>
      <c r="C35" s="1" t="s">
        <v>5</v>
      </c>
    </row>
    <row r="36" ht="12.75">
      <c r="A36" s="3"/>
    </row>
    <row r="37" spans="1:2" ht="12.75">
      <c r="A37" s="3"/>
      <c r="B37" s="2" t="s">
        <v>6</v>
      </c>
    </row>
    <row r="38" spans="1:7" ht="12.75">
      <c r="A38" s="3"/>
      <c r="C38" s="2"/>
      <c r="D38" s="9" t="s">
        <v>7</v>
      </c>
      <c r="E38" s="10"/>
      <c r="F38" s="41" t="s">
        <v>8</v>
      </c>
      <c r="G38" s="42"/>
    </row>
    <row r="39" spans="1:7" ht="15.75">
      <c r="A39" s="3"/>
      <c r="B39" s="11" t="s">
        <v>9</v>
      </c>
      <c r="D39" s="12" t="s">
        <v>38</v>
      </c>
      <c r="E39" s="13" t="s">
        <v>279</v>
      </c>
      <c r="F39" s="44" t="s">
        <v>39</v>
      </c>
      <c r="G39" s="160" t="s">
        <v>279</v>
      </c>
    </row>
    <row r="40" spans="1:7" ht="12.75">
      <c r="A40" s="3"/>
      <c r="B40" s="15"/>
      <c r="C40" s="15"/>
      <c r="D40" s="16" t="s">
        <v>10</v>
      </c>
      <c r="E40" s="17" t="s">
        <v>10</v>
      </c>
      <c r="F40" s="16" t="s">
        <v>10</v>
      </c>
      <c r="G40" s="118" t="s">
        <v>10</v>
      </c>
    </row>
    <row r="41" spans="1:8" ht="12.75">
      <c r="A41" s="3"/>
      <c r="B41" s="1" t="s">
        <v>21</v>
      </c>
      <c r="D41" s="19">
        <f>+C65</f>
        <v>104.41199999999999</v>
      </c>
      <c r="E41" s="20">
        <f>+D41/F49</f>
        <v>72.50833333333333</v>
      </c>
      <c r="F41" s="158">
        <f>+G65</f>
        <v>69.60799999999999</v>
      </c>
      <c r="G41" s="20">
        <f>+F41</f>
        <v>69.60799999999999</v>
      </c>
      <c r="H41" s="1" t="s">
        <v>55</v>
      </c>
    </row>
    <row r="42" spans="1:8" ht="12.75">
      <c r="A42" s="3"/>
      <c r="B42" s="8" t="s">
        <v>22</v>
      </c>
      <c r="C42" s="8"/>
      <c r="D42" s="21">
        <f>+C79</f>
        <v>247.84220793710728</v>
      </c>
      <c r="E42" s="22">
        <f>+D42/F49</f>
        <v>172.11264440076894</v>
      </c>
      <c r="F42" s="50">
        <f>+G79</f>
        <v>165.2281386247382</v>
      </c>
      <c r="G42" s="22">
        <f>+F42</f>
        <v>165.2281386247382</v>
      </c>
      <c r="H42" s="1" t="s">
        <v>56</v>
      </c>
    </row>
    <row r="43" spans="1:7" ht="12.75">
      <c r="A43" s="3"/>
      <c r="D43" s="23"/>
      <c r="E43" s="24" t="s">
        <v>11</v>
      </c>
      <c r="F43" s="159"/>
      <c r="G43" s="24" t="s">
        <v>11</v>
      </c>
    </row>
    <row r="44" spans="1:7" ht="12.75">
      <c r="A44" s="3"/>
      <c r="D44" s="23"/>
      <c r="E44" s="23"/>
      <c r="G44" s="23"/>
    </row>
    <row r="46" spans="2:3" ht="12.75">
      <c r="B46" s="26" t="s">
        <v>12</v>
      </c>
      <c r="C46" s="8"/>
    </row>
    <row r="47" spans="1:4" ht="12.75">
      <c r="A47" s="27"/>
      <c r="B47" s="11" t="s">
        <v>277</v>
      </c>
      <c r="C47" s="11"/>
      <c r="D47" s="11"/>
    </row>
    <row r="48" spans="1:4" ht="12.75">
      <c r="A48" s="27"/>
      <c r="C48" s="11"/>
      <c r="D48" s="11"/>
    </row>
    <row r="49" spans="1:7" ht="15.75">
      <c r="A49" s="27"/>
      <c r="B49" s="11" t="s">
        <v>42</v>
      </c>
      <c r="C49" s="11"/>
      <c r="D49" s="11"/>
      <c r="E49" s="1" t="s">
        <v>43</v>
      </c>
      <c r="F49" s="28">
        <f>1.2*C8+1.6*C9</f>
        <v>1.44</v>
      </c>
      <c r="G49" s="1" t="s">
        <v>276</v>
      </c>
    </row>
    <row r="50" spans="1:7" ht="15.75">
      <c r="A50" s="27"/>
      <c r="B50" s="11" t="s">
        <v>63</v>
      </c>
      <c r="C50" s="11"/>
      <c r="D50" s="11"/>
      <c r="E50" s="1" t="s">
        <v>278</v>
      </c>
      <c r="F50" s="57">
        <v>1</v>
      </c>
      <c r="G50" s="1" t="s">
        <v>276</v>
      </c>
    </row>
    <row r="52" spans="1:5" ht="12.75">
      <c r="A52" s="29" t="s">
        <v>19</v>
      </c>
      <c r="B52" s="7" t="s">
        <v>23</v>
      </c>
      <c r="C52" s="8"/>
      <c r="D52" s="8"/>
      <c r="E52" s="8"/>
    </row>
    <row r="54" spans="2:4" ht="12.75">
      <c r="B54" s="30" t="s">
        <v>24</v>
      </c>
      <c r="C54" s="162">
        <v>0.3</v>
      </c>
      <c r="D54" s="1" t="s">
        <v>28</v>
      </c>
    </row>
    <row r="55" spans="2:3" ht="15.75">
      <c r="B55" s="1" t="s">
        <v>29</v>
      </c>
      <c r="C55" s="37">
        <v>1.13</v>
      </c>
    </row>
    <row r="56" spans="2:4" ht="15.75">
      <c r="B56" s="1" t="s">
        <v>302</v>
      </c>
      <c r="C56" s="37">
        <v>1</v>
      </c>
      <c r="D56" s="1" t="s">
        <v>303</v>
      </c>
    </row>
    <row r="57" spans="2:4" ht="15.75">
      <c r="B57" s="1" t="s">
        <v>30</v>
      </c>
      <c r="C57" s="37">
        <v>28</v>
      </c>
      <c r="D57" s="1" t="s">
        <v>27</v>
      </c>
    </row>
    <row r="58" spans="2:5" ht="15.75">
      <c r="B58" s="8" t="s">
        <v>305</v>
      </c>
      <c r="C58" s="39">
        <v>1</v>
      </c>
      <c r="D58" s="8"/>
      <c r="E58" s="8"/>
    </row>
    <row r="59" spans="2:4" ht="15.75">
      <c r="B59" s="1" t="s">
        <v>32</v>
      </c>
      <c r="C59" s="85">
        <f>+C54*C55*C56*C57*C58</f>
        <v>9.491999999999999</v>
      </c>
      <c r="D59" s="1" t="s">
        <v>27</v>
      </c>
    </row>
    <row r="60" spans="2:5" ht="15.75">
      <c r="B60" s="8" t="s">
        <v>306</v>
      </c>
      <c r="C60" s="8">
        <v>11</v>
      </c>
      <c r="D60" s="8" t="s">
        <v>34</v>
      </c>
      <c r="E60" s="8"/>
    </row>
    <row r="61" spans="2:4" ht="15.75">
      <c r="B61" s="1" t="s">
        <v>37</v>
      </c>
      <c r="C61" s="32">
        <f>+C59*C60</f>
        <v>104.41199999999999</v>
      </c>
      <c r="D61" s="1" t="s">
        <v>35</v>
      </c>
    </row>
    <row r="63" spans="2:8" ht="12.75">
      <c r="B63" s="8" t="s">
        <v>7</v>
      </c>
      <c r="C63" s="8"/>
      <c r="D63" s="8"/>
      <c r="F63" s="8" t="s">
        <v>8</v>
      </c>
      <c r="G63" s="8"/>
      <c r="H63" s="8"/>
    </row>
    <row r="64" spans="2:8" ht="12.75">
      <c r="B64" s="30" t="s">
        <v>40</v>
      </c>
      <c r="C64" s="1">
        <v>1</v>
      </c>
      <c r="D64" s="1" t="s">
        <v>304</v>
      </c>
      <c r="F64" s="30" t="s">
        <v>41</v>
      </c>
      <c r="G64" s="1">
        <v>1.5</v>
      </c>
      <c r="H64" s="1" t="s">
        <v>304</v>
      </c>
    </row>
    <row r="65" spans="2:8" ht="15.75">
      <c r="B65" s="30" t="s">
        <v>57</v>
      </c>
      <c r="C65" s="33">
        <f>+C61*C64</f>
        <v>104.41199999999999</v>
      </c>
      <c r="D65" s="34" t="s">
        <v>26</v>
      </c>
      <c r="E65" s="34"/>
      <c r="F65" s="35" t="s">
        <v>58</v>
      </c>
      <c r="G65" s="33">
        <f>+C61/G64</f>
        <v>69.60799999999999</v>
      </c>
      <c r="H65" s="34" t="s">
        <v>26</v>
      </c>
    </row>
    <row r="68" spans="1:5" ht="12.75">
      <c r="A68" s="29" t="s">
        <v>20</v>
      </c>
      <c r="B68" s="7" t="s">
        <v>48</v>
      </c>
      <c r="C68" s="8"/>
      <c r="D68" s="8"/>
      <c r="E68" s="8"/>
    </row>
    <row r="70" spans="2:4" ht="15.75">
      <c r="B70" s="1" t="s">
        <v>51</v>
      </c>
      <c r="C70" s="37">
        <v>68</v>
      </c>
      <c r="D70" s="1" t="s">
        <v>50</v>
      </c>
    </row>
    <row r="71" spans="2:5" ht="15.75">
      <c r="B71" s="8" t="s">
        <v>49</v>
      </c>
      <c r="C71" s="36">
        <f>PI()*(C7/2)^2</f>
        <v>0.44178646691106466</v>
      </c>
      <c r="D71" s="8" t="s">
        <v>52</v>
      </c>
      <c r="E71" s="8"/>
    </row>
    <row r="72" spans="2:4" ht="15.75">
      <c r="B72" s="1" t="s">
        <v>32</v>
      </c>
      <c r="C72" s="31">
        <f>+C70*C71</f>
        <v>30.041479749952398</v>
      </c>
      <c r="D72" s="1" t="s">
        <v>53</v>
      </c>
    </row>
    <row r="73" spans="2:4" ht="15.75">
      <c r="B73" s="11" t="s">
        <v>305</v>
      </c>
      <c r="C73" s="37">
        <v>1</v>
      </c>
      <c r="D73" s="1" t="s">
        <v>54</v>
      </c>
    </row>
    <row r="74" spans="2:5" ht="15.75">
      <c r="B74" s="8" t="s">
        <v>306</v>
      </c>
      <c r="C74" s="39">
        <v>11</v>
      </c>
      <c r="D74" s="8" t="s">
        <v>34</v>
      </c>
      <c r="E74" s="8"/>
    </row>
    <row r="75" spans="2:4" ht="15.75">
      <c r="B75" s="1" t="s">
        <v>37</v>
      </c>
      <c r="C75" s="32">
        <f>+C72*C73*C74</f>
        <v>330.4562772494764</v>
      </c>
      <c r="D75" s="1" t="s">
        <v>35</v>
      </c>
    </row>
    <row r="77" spans="2:8" ht="12.75">
      <c r="B77" s="8" t="s">
        <v>7</v>
      </c>
      <c r="C77" s="8"/>
      <c r="D77" s="8"/>
      <c r="F77" s="8" t="s">
        <v>8</v>
      </c>
      <c r="G77" s="8"/>
      <c r="H77" s="8"/>
    </row>
    <row r="78" spans="2:7" ht="12.75">
      <c r="B78" s="30" t="s">
        <v>40</v>
      </c>
      <c r="C78" s="37">
        <v>0.75</v>
      </c>
      <c r="F78" s="30" t="s">
        <v>41</v>
      </c>
      <c r="G78" s="37">
        <v>2</v>
      </c>
    </row>
    <row r="79" spans="2:8" ht="15.75">
      <c r="B79" s="30" t="s">
        <v>57</v>
      </c>
      <c r="C79" s="33">
        <f>+C75*C78</f>
        <v>247.84220793710728</v>
      </c>
      <c r="D79" s="34" t="s">
        <v>26</v>
      </c>
      <c r="E79" s="34"/>
      <c r="F79" s="35" t="s">
        <v>58</v>
      </c>
      <c r="G79" s="33">
        <f>+C75/G78</f>
        <v>165.2281386247382</v>
      </c>
      <c r="H79" s="34" t="s">
        <v>26</v>
      </c>
    </row>
  </sheetData>
  <sheetProtection password="CADF" sheet="1"/>
  <printOptions/>
  <pageMargins left="0.75" right="0.75" top="1" bottom="1" header="0.5" footer="0.5"/>
  <pageSetup horizontalDpi="300" verticalDpi="300" orientation="portrait" r:id="rId3"/>
  <legacyDrawing r:id="rId2"/>
  <oleObjects>
    <oleObject progId="AutoCAD.Drawing.17" shapeId="332377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tr">
        <f>+'Example 4.1'!A1</f>
        <v>A Beginner's Guide to the Steel Construction Manual, 14th ed</v>
      </c>
      <c r="H1" s="1" t="s">
        <v>300</v>
      </c>
    </row>
    <row r="2" spans="1:8" ht="12.75">
      <c r="A2" s="2" t="s">
        <v>274</v>
      </c>
      <c r="H2" s="1" t="s">
        <v>256</v>
      </c>
    </row>
    <row r="4" spans="1:2" ht="12.75">
      <c r="A4" s="2" t="s">
        <v>59</v>
      </c>
      <c r="B4" s="3" t="s">
        <v>288</v>
      </c>
    </row>
    <row r="5" spans="1:2" ht="12.75">
      <c r="A5" s="2"/>
      <c r="B5" s="3" t="s">
        <v>289</v>
      </c>
    </row>
    <row r="6" ht="12.75">
      <c r="B6" s="1" t="s">
        <v>92</v>
      </c>
    </row>
    <row r="8" spans="2:7" ht="15.75">
      <c r="B8" s="1" t="s">
        <v>1</v>
      </c>
      <c r="C8" s="37">
        <v>0.75</v>
      </c>
      <c r="D8" s="1" t="s">
        <v>0</v>
      </c>
      <c r="G8" s="40"/>
    </row>
    <row r="9" spans="2:3" ht="12.75">
      <c r="B9" s="4" t="s">
        <v>45</v>
      </c>
      <c r="C9" s="38">
        <v>0.3</v>
      </c>
    </row>
    <row r="10" spans="2:3" ht="12.75">
      <c r="B10" s="4" t="s">
        <v>60</v>
      </c>
      <c r="C10" s="5">
        <f>1-C9</f>
        <v>0.7</v>
      </c>
    </row>
    <row r="11" spans="2:3" ht="12.75">
      <c r="B11" s="4"/>
      <c r="C11" s="5"/>
    </row>
    <row r="12" spans="2:3" ht="12.75">
      <c r="B12" s="3" t="s">
        <v>281</v>
      </c>
      <c r="C12" s="5"/>
    </row>
    <row r="13" spans="2:3" ht="12.75">
      <c r="B13" s="3" t="s">
        <v>282</v>
      </c>
      <c r="C13" s="5"/>
    </row>
    <row r="14" spans="2:3" ht="12.75">
      <c r="B14" s="3" t="s">
        <v>293</v>
      </c>
      <c r="C14" s="5"/>
    </row>
    <row r="15" spans="2:3" ht="12.75">
      <c r="B15" s="3" t="s">
        <v>284</v>
      </c>
      <c r="C15" s="5"/>
    </row>
    <row r="16" spans="2:3" ht="12.75">
      <c r="B16" s="3" t="s">
        <v>285</v>
      </c>
      <c r="C16" s="5"/>
    </row>
    <row r="17" spans="2:3" ht="12.75">
      <c r="B17" s="4"/>
      <c r="C17" s="5"/>
    </row>
    <row r="18" spans="2:3" ht="12.75">
      <c r="B18" s="3" t="s">
        <v>287</v>
      </c>
      <c r="C18" s="5"/>
    </row>
    <row r="19" spans="2:3" ht="12.75">
      <c r="B19" s="4"/>
      <c r="C19" s="5"/>
    </row>
    <row r="20" spans="2:3" ht="12.75">
      <c r="B20" s="4"/>
      <c r="C20" s="5"/>
    </row>
    <row r="21" spans="2:3" ht="12.75">
      <c r="B21" s="4"/>
      <c r="C21" s="5"/>
    </row>
    <row r="22" spans="2:3" ht="12.75">
      <c r="B22" s="4"/>
      <c r="C22" s="5"/>
    </row>
    <row r="23" spans="2:3" ht="12.75">
      <c r="B23" s="4"/>
      <c r="C23" s="5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17</v>
      </c>
    </row>
    <row r="29" spans="1:2" ht="12.75">
      <c r="A29" s="6" t="s">
        <v>20</v>
      </c>
      <c r="B29" s="1" t="s">
        <v>18</v>
      </c>
    </row>
    <row r="31" ht="12.75">
      <c r="A31" s="2" t="s">
        <v>3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4" ht="12.75">
      <c r="A34" s="3"/>
    </row>
    <row r="35" spans="1:2" ht="12.75">
      <c r="A35" s="3"/>
      <c r="B35" s="2" t="s">
        <v>6</v>
      </c>
    </row>
    <row r="36" spans="1:7" ht="12.75">
      <c r="A36" s="3"/>
      <c r="C36" s="2"/>
      <c r="D36" s="9" t="s">
        <v>7</v>
      </c>
      <c r="E36" s="10"/>
      <c r="F36" s="41" t="s">
        <v>8</v>
      </c>
      <c r="G36" s="42"/>
    </row>
    <row r="37" spans="1:7" ht="15.75">
      <c r="A37" s="3"/>
      <c r="B37" s="11" t="s">
        <v>9</v>
      </c>
      <c r="D37" s="12" t="s">
        <v>38</v>
      </c>
      <c r="E37" s="43" t="s">
        <v>276</v>
      </c>
      <c r="F37" s="44" t="s">
        <v>39</v>
      </c>
      <c r="G37" s="45" t="s">
        <v>276</v>
      </c>
    </row>
    <row r="38" spans="1:7" ht="12.75">
      <c r="A38" s="3"/>
      <c r="B38" s="15"/>
      <c r="C38" s="15"/>
      <c r="D38" s="16" t="s">
        <v>10</v>
      </c>
      <c r="E38" s="17" t="s">
        <v>10</v>
      </c>
      <c r="F38" s="16" t="s">
        <v>10</v>
      </c>
      <c r="G38" s="118" t="s">
        <v>10</v>
      </c>
    </row>
    <row r="39" spans="1:8" ht="12.75">
      <c r="A39" s="3"/>
      <c r="B39" s="1" t="s">
        <v>21</v>
      </c>
      <c r="D39" s="19">
        <f>+C65</f>
        <v>435.04999999999995</v>
      </c>
      <c r="E39" s="46">
        <f>+D39/E49</f>
        <v>410.4245283018867</v>
      </c>
      <c r="F39" s="47">
        <f>+G65</f>
        <v>290.0333333333333</v>
      </c>
      <c r="G39" s="48">
        <f>+F39/K49</f>
        <v>367.1308016877637</v>
      </c>
      <c r="H39" s="1" t="s">
        <v>55</v>
      </c>
    </row>
    <row r="40" spans="1:8" ht="12.75">
      <c r="A40" s="3"/>
      <c r="B40" s="8" t="s">
        <v>22</v>
      </c>
      <c r="C40" s="8"/>
      <c r="D40" s="21">
        <f>+C79</f>
        <v>495.68441587421455</v>
      </c>
      <c r="E40" s="49">
        <f>+D40/E49</f>
        <v>467.62680742850426</v>
      </c>
      <c r="F40" s="50">
        <f>+G79</f>
        <v>330.4562772494764</v>
      </c>
      <c r="G40" s="22">
        <f>+F40/K49</f>
        <v>418.29908512591953</v>
      </c>
      <c r="H40" s="1" t="s">
        <v>56</v>
      </c>
    </row>
    <row r="41" spans="1:7" ht="12.75">
      <c r="A41" s="3"/>
      <c r="D41" s="23"/>
      <c r="E41" s="24" t="s">
        <v>11</v>
      </c>
      <c r="G41" s="25" t="s">
        <v>11</v>
      </c>
    </row>
    <row r="42" spans="1:7" ht="12.75">
      <c r="A42" s="3"/>
      <c r="D42" s="23"/>
      <c r="E42" s="23"/>
      <c r="G42" s="23"/>
    </row>
    <row r="43" ht="12.75">
      <c r="B43" s="1" t="s">
        <v>65</v>
      </c>
    </row>
    <row r="44" ht="12.75">
      <c r="B44" s="1" t="s">
        <v>66</v>
      </c>
    </row>
    <row r="46" spans="1:2" ht="12.75">
      <c r="A46" s="26" t="s">
        <v>12</v>
      </c>
      <c r="B46" s="8"/>
    </row>
    <row r="47" spans="1:9" ht="12.75">
      <c r="A47" s="11" t="s">
        <v>61</v>
      </c>
      <c r="B47" s="11"/>
      <c r="C47" s="11"/>
      <c r="G47" s="11" t="s">
        <v>62</v>
      </c>
      <c r="H47" s="11"/>
      <c r="I47" s="11"/>
    </row>
    <row r="48" spans="2:9" ht="12.75">
      <c r="B48" s="11"/>
      <c r="C48" s="11"/>
      <c r="H48" s="11"/>
      <c r="I48" s="11"/>
    </row>
    <row r="49" spans="1:12" ht="15.75">
      <c r="A49" s="11" t="s">
        <v>42</v>
      </c>
      <c r="B49" s="11"/>
      <c r="C49" s="11"/>
      <c r="D49" s="1" t="s">
        <v>43</v>
      </c>
      <c r="E49" s="28">
        <f>1.2*C9+1*C10</f>
        <v>1.06</v>
      </c>
      <c r="F49" s="1" t="s">
        <v>44</v>
      </c>
      <c r="G49" s="11" t="s">
        <v>63</v>
      </c>
      <c r="H49" s="11"/>
      <c r="I49" s="11"/>
      <c r="J49" s="1" t="s">
        <v>80</v>
      </c>
      <c r="K49" s="51">
        <f>1*C9+0.7*C10</f>
        <v>0.7899999999999999</v>
      </c>
      <c r="L49" s="1" t="s">
        <v>44</v>
      </c>
    </row>
    <row r="52" spans="1:5" ht="12.75">
      <c r="A52" s="29" t="s">
        <v>19</v>
      </c>
      <c r="B52" s="7" t="s">
        <v>23</v>
      </c>
      <c r="C52" s="8"/>
      <c r="D52" s="8"/>
      <c r="E52" s="8"/>
    </row>
    <row r="54" spans="2:4" ht="12.75">
      <c r="B54" s="30" t="s">
        <v>24</v>
      </c>
      <c r="C54" s="162">
        <v>0.5</v>
      </c>
      <c r="D54" s="1" t="s">
        <v>64</v>
      </c>
    </row>
    <row r="55" spans="2:3" ht="15.75">
      <c r="B55" s="1" t="s">
        <v>29</v>
      </c>
      <c r="C55" s="37">
        <v>1.13</v>
      </c>
    </row>
    <row r="56" spans="2:4" ht="15.75">
      <c r="B56" s="1" t="s">
        <v>302</v>
      </c>
      <c r="C56" s="37">
        <v>1</v>
      </c>
      <c r="D56" s="1" t="s">
        <v>307</v>
      </c>
    </row>
    <row r="57" spans="2:4" ht="15.75">
      <c r="B57" s="1" t="s">
        <v>30</v>
      </c>
      <c r="C57" s="37">
        <v>35</v>
      </c>
      <c r="D57" s="1" t="s">
        <v>27</v>
      </c>
    </row>
    <row r="58" spans="2:5" ht="15.75">
      <c r="B58" s="8" t="s">
        <v>305</v>
      </c>
      <c r="C58" s="39">
        <v>2</v>
      </c>
      <c r="D58" s="8" t="s">
        <v>54</v>
      </c>
      <c r="E58" s="8"/>
    </row>
    <row r="59" spans="2:4" ht="15.75">
      <c r="B59" s="1" t="s">
        <v>32</v>
      </c>
      <c r="C59" s="31">
        <f>+C54*C55*C56*C57*C58</f>
        <v>39.55</v>
      </c>
      <c r="D59" s="1" t="s">
        <v>27</v>
      </c>
    </row>
    <row r="60" spans="2:5" ht="15.75">
      <c r="B60" s="8" t="s">
        <v>36</v>
      </c>
      <c r="C60" s="8">
        <v>11</v>
      </c>
      <c r="D60" s="8" t="s">
        <v>34</v>
      </c>
      <c r="E60" s="8"/>
    </row>
    <row r="61" spans="2:4" ht="15.75">
      <c r="B61" s="1" t="s">
        <v>37</v>
      </c>
      <c r="C61" s="32">
        <f>+C59*C60</f>
        <v>435.04999999999995</v>
      </c>
      <c r="D61" s="1" t="s">
        <v>35</v>
      </c>
    </row>
    <row r="63" spans="2:8" ht="12.75">
      <c r="B63" s="8" t="s">
        <v>7</v>
      </c>
      <c r="C63" s="8"/>
      <c r="D63" s="8"/>
      <c r="F63" s="8" t="s">
        <v>8</v>
      </c>
      <c r="G63" s="8"/>
      <c r="H63" s="8"/>
    </row>
    <row r="64" spans="2:8" ht="12.75">
      <c r="B64" s="30" t="s">
        <v>40</v>
      </c>
      <c r="C64" s="1">
        <v>1</v>
      </c>
      <c r="D64" s="1" t="s">
        <v>304</v>
      </c>
      <c r="F64" s="30" t="s">
        <v>41</v>
      </c>
      <c r="G64" s="1">
        <v>1.5</v>
      </c>
      <c r="H64" s="1" t="s">
        <v>304</v>
      </c>
    </row>
    <row r="65" spans="2:8" ht="15.75">
      <c r="B65" s="30" t="s">
        <v>57</v>
      </c>
      <c r="C65" s="33">
        <f>+C61*C64</f>
        <v>435.04999999999995</v>
      </c>
      <c r="D65" s="34" t="s">
        <v>26</v>
      </c>
      <c r="E65" s="34"/>
      <c r="F65" s="35" t="s">
        <v>58</v>
      </c>
      <c r="G65" s="33">
        <f>+C61/G64</f>
        <v>290.0333333333333</v>
      </c>
      <c r="H65" s="34" t="s">
        <v>26</v>
      </c>
    </row>
    <row r="68" spans="1:5" ht="12.75">
      <c r="A68" s="29" t="s">
        <v>20</v>
      </c>
      <c r="B68" s="7" t="s">
        <v>48</v>
      </c>
      <c r="C68" s="8"/>
      <c r="D68" s="8"/>
      <c r="E68" s="8"/>
    </row>
    <row r="70" spans="2:4" ht="15.75">
      <c r="B70" s="1" t="s">
        <v>51</v>
      </c>
      <c r="C70" s="37">
        <v>68</v>
      </c>
      <c r="D70" s="1" t="s">
        <v>50</v>
      </c>
    </row>
    <row r="71" spans="2:5" ht="15.75">
      <c r="B71" s="8" t="s">
        <v>49</v>
      </c>
      <c r="C71" s="36">
        <f>PI()*(C8/2)^2</f>
        <v>0.44178646691106466</v>
      </c>
      <c r="D71" s="8" t="s">
        <v>52</v>
      </c>
      <c r="E71" s="8"/>
    </row>
    <row r="72" spans="2:4" ht="15.75">
      <c r="B72" s="1" t="s">
        <v>32</v>
      </c>
      <c r="C72" s="31">
        <f>+C70*C71</f>
        <v>30.041479749952398</v>
      </c>
      <c r="D72" s="1" t="s">
        <v>53</v>
      </c>
    </row>
    <row r="73" spans="2:4" ht="15.75">
      <c r="B73" s="11" t="s">
        <v>305</v>
      </c>
      <c r="C73" s="1">
        <v>2</v>
      </c>
      <c r="D73" s="1" t="s">
        <v>54</v>
      </c>
    </row>
    <row r="74" spans="2:5" ht="15.75">
      <c r="B74" s="8" t="s">
        <v>306</v>
      </c>
      <c r="C74" s="8">
        <v>11</v>
      </c>
      <c r="D74" s="8" t="s">
        <v>34</v>
      </c>
      <c r="E74" s="8"/>
    </row>
    <row r="75" spans="2:4" ht="15.75">
      <c r="B75" s="1" t="s">
        <v>37</v>
      </c>
      <c r="C75" s="32">
        <f>+C72*C73*C74</f>
        <v>660.9125544989528</v>
      </c>
      <c r="D75" s="1" t="s">
        <v>35</v>
      </c>
    </row>
    <row r="77" spans="2:8" ht="12.75">
      <c r="B77" s="8" t="s">
        <v>7</v>
      </c>
      <c r="C77" s="8"/>
      <c r="D77" s="8"/>
      <c r="F77" s="8" t="s">
        <v>8</v>
      </c>
      <c r="G77" s="8"/>
      <c r="H77" s="8"/>
    </row>
    <row r="78" spans="2:7" ht="12.75">
      <c r="B78" s="30" t="s">
        <v>40</v>
      </c>
      <c r="C78" s="1">
        <v>0.75</v>
      </c>
      <c r="F78" s="30" t="s">
        <v>41</v>
      </c>
      <c r="G78" s="1">
        <v>2</v>
      </c>
    </row>
    <row r="79" spans="2:8" ht="15.75">
      <c r="B79" s="30" t="s">
        <v>57</v>
      </c>
      <c r="C79" s="33">
        <f>+C75*C78</f>
        <v>495.68441587421455</v>
      </c>
      <c r="D79" s="34" t="s">
        <v>26</v>
      </c>
      <c r="E79" s="34"/>
      <c r="F79" s="35" t="s">
        <v>58</v>
      </c>
      <c r="G79" s="33">
        <f>+C75/G78</f>
        <v>330.4562772494764</v>
      </c>
      <c r="H79" s="34" t="s">
        <v>26</v>
      </c>
    </row>
  </sheetData>
  <sheetProtection password="CADF" sheet="1"/>
  <printOptions/>
  <pageMargins left="0.75" right="0.75" top="1" bottom="1" header="0.5" footer="0.5"/>
  <pageSetup orientation="portrait" paperSize="9"/>
  <legacyDrawing r:id="rId2"/>
  <oleObjects>
    <oleObject progId="AutoCAD.Drawing.17" shapeId="332321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tr">
        <f>+'Example 4.1'!A1</f>
        <v>A Beginner's Guide to the Steel Construction Manual, 14th ed</v>
      </c>
      <c r="H1" s="1" t="s">
        <v>300</v>
      </c>
    </row>
    <row r="2" spans="1:8" ht="12.75">
      <c r="A2" s="2" t="s">
        <v>273</v>
      </c>
      <c r="H2" s="1" t="s">
        <v>256</v>
      </c>
    </row>
    <row r="4" spans="1:2" ht="12.75">
      <c r="A4" s="2" t="s">
        <v>59</v>
      </c>
      <c r="B4" s="1" t="s">
        <v>298</v>
      </c>
    </row>
    <row r="5" spans="1:2" ht="12.75">
      <c r="A5" s="2"/>
      <c r="B5" s="3" t="s">
        <v>297</v>
      </c>
    </row>
    <row r="6" ht="12.75">
      <c r="B6" s="1" t="s">
        <v>91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67</v>
      </c>
      <c r="C9" s="38">
        <v>1</v>
      </c>
      <c r="I9" s="40"/>
    </row>
    <row r="10" spans="2:9" ht="12.75">
      <c r="B10" s="4"/>
      <c r="C10" s="113"/>
      <c r="I10" s="40"/>
    </row>
    <row r="11" spans="2:9" ht="12.75">
      <c r="B11" s="3" t="s">
        <v>281</v>
      </c>
      <c r="C11" s="5"/>
      <c r="I11" s="40"/>
    </row>
    <row r="12" spans="2:9" ht="12.75">
      <c r="B12" s="3" t="s">
        <v>282</v>
      </c>
      <c r="C12" s="5"/>
      <c r="I12" s="40"/>
    </row>
    <row r="13" spans="2:9" ht="12.75">
      <c r="B13" s="3" t="s">
        <v>292</v>
      </c>
      <c r="C13" s="5"/>
      <c r="I13" s="40"/>
    </row>
    <row r="14" spans="2:9" ht="12.75">
      <c r="B14" s="3" t="s">
        <v>284</v>
      </c>
      <c r="C14" s="5"/>
      <c r="I14" s="40"/>
    </row>
    <row r="15" spans="2:9" ht="12.75">
      <c r="B15" s="3" t="s">
        <v>285</v>
      </c>
      <c r="C15" s="5"/>
      <c r="I15" s="40"/>
    </row>
    <row r="16" spans="2:9" ht="12.75">
      <c r="B16" s="4"/>
      <c r="C16" s="5"/>
      <c r="I16" s="40"/>
    </row>
    <row r="17" spans="2:9" ht="12.75">
      <c r="B17" s="3" t="s">
        <v>286</v>
      </c>
      <c r="C17" s="5"/>
      <c r="I17" s="40"/>
    </row>
    <row r="18" spans="2:9" ht="12.75">
      <c r="B18" s="4"/>
      <c r="C18" s="113"/>
      <c r="I18" s="40"/>
    </row>
    <row r="19" spans="2:9" ht="12.75">
      <c r="B19" s="4"/>
      <c r="C19" s="113"/>
      <c r="I19" s="40"/>
    </row>
    <row r="20" spans="2:9" ht="12.75">
      <c r="B20" s="4"/>
      <c r="C20" s="113"/>
      <c r="I20" s="40"/>
    </row>
    <row r="21" spans="2:9" ht="12.75">
      <c r="B21" s="4"/>
      <c r="C21" s="113"/>
      <c r="I21" s="40"/>
    </row>
    <row r="22" spans="2:9" ht="12.75">
      <c r="B22" s="4"/>
      <c r="C22" s="113"/>
      <c r="I22" s="40"/>
    </row>
    <row r="23" spans="2:9" ht="12.75">
      <c r="B23" s="4"/>
      <c r="C23" s="113"/>
      <c r="I23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3" t="s">
        <v>290</v>
      </c>
    </row>
    <row r="27" ht="12.75">
      <c r="A27" s="2"/>
    </row>
    <row r="28" spans="1:2" ht="12.75">
      <c r="A28" s="6" t="s">
        <v>19</v>
      </c>
      <c r="B28" s="1" t="s">
        <v>17</v>
      </c>
    </row>
    <row r="29" spans="1:2" ht="12.75">
      <c r="A29" s="6" t="s">
        <v>20</v>
      </c>
      <c r="B29" s="1" t="s">
        <v>18</v>
      </c>
    </row>
    <row r="31" ht="12.75">
      <c r="A31" s="2" t="s">
        <v>3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4" ht="12.75">
      <c r="A34" s="3"/>
    </row>
    <row r="35" spans="1:2" ht="12.75">
      <c r="A35" s="3"/>
      <c r="B35" s="3" t="s">
        <v>291</v>
      </c>
    </row>
    <row r="36" ht="12.75">
      <c r="A36" s="3"/>
    </row>
    <row r="37" spans="1:2" ht="12.75">
      <c r="A37" s="3"/>
      <c r="B37" s="1" t="s">
        <v>99</v>
      </c>
    </row>
    <row r="38" spans="1:6" ht="12.75">
      <c r="A38" s="3"/>
      <c r="E38" s="52" t="s">
        <v>7</v>
      </c>
      <c r="F38" s="52" t="s">
        <v>8</v>
      </c>
    </row>
    <row r="39" spans="1:6" ht="12.75">
      <c r="A39" s="3"/>
      <c r="E39" s="17" t="s">
        <v>10</v>
      </c>
      <c r="F39" s="17" t="s">
        <v>10</v>
      </c>
    </row>
    <row r="40" spans="1:7" ht="12.75">
      <c r="A40" s="3"/>
      <c r="C40" s="1" t="s">
        <v>21</v>
      </c>
      <c r="E40" s="53">
        <f>+C102</f>
        <v>36.32142857142857</v>
      </c>
      <c r="F40" s="53">
        <f>+G102</f>
        <v>38.74285714285713</v>
      </c>
      <c r="G40" s="1" t="s">
        <v>103</v>
      </c>
    </row>
    <row r="41" spans="1:6" ht="12.75">
      <c r="A41" s="3"/>
      <c r="C41" s="1" t="s">
        <v>100</v>
      </c>
      <c r="E41" s="54">
        <f>+C76</f>
        <v>186.37866572810537</v>
      </c>
      <c r="F41" s="54">
        <f>+G76</f>
        <v>198.80391010997909</v>
      </c>
    </row>
    <row r="42" spans="1:6" ht="12.75">
      <c r="A42" s="3"/>
      <c r="C42" s="1" t="s">
        <v>102</v>
      </c>
      <c r="E42" s="55">
        <f>MIN(E40:E41)</f>
        <v>36.32142857142857</v>
      </c>
      <c r="F42" s="55">
        <f>MIN(F40:F41)</f>
        <v>38.74285714285713</v>
      </c>
    </row>
    <row r="43" spans="1:6" ht="12.75">
      <c r="A43" s="3"/>
      <c r="E43" s="52"/>
      <c r="F43" s="52"/>
    </row>
    <row r="44" spans="1:6" ht="12.75">
      <c r="A44" s="3"/>
      <c r="B44" s="1" t="s">
        <v>101</v>
      </c>
      <c r="E44" s="52"/>
      <c r="F44" s="52"/>
    </row>
    <row r="45" spans="1:6" ht="12.75">
      <c r="A45" s="3"/>
      <c r="E45" s="52" t="s">
        <v>7</v>
      </c>
      <c r="F45" s="52" t="s">
        <v>8</v>
      </c>
    </row>
    <row r="46" spans="1:6" ht="12.75">
      <c r="A46" s="3"/>
      <c r="E46" s="17" t="s">
        <v>10</v>
      </c>
      <c r="F46" s="17" t="s">
        <v>10</v>
      </c>
    </row>
    <row r="47" spans="1:6" ht="12.75">
      <c r="A47" s="3"/>
      <c r="C47" s="1" t="s">
        <v>22</v>
      </c>
      <c r="E47" s="53">
        <f>+C120</f>
        <v>83.87039957764742</v>
      </c>
      <c r="F47" s="53">
        <f>+G120</f>
        <v>89.46175954949058</v>
      </c>
    </row>
    <row r="48" spans="1:7" ht="12.75">
      <c r="A48" s="3"/>
      <c r="C48" s="1" t="s">
        <v>100</v>
      </c>
      <c r="E48" s="53">
        <f>+C155</f>
        <v>75.194151345477</v>
      </c>
      <c r="F48" s="53">
        <f>+H155</f>
        <v>80.20709476850881</v>
      </c>
      <c r="G48" s="1" t="s">
        <v>103</v>
      </c>
    </row>
    <row r="49" spans="1:6" ht="12.75">
      <c r="A49" s="3"/>
      <c r="C49" s="1" t="s">
        <v>102</v>
      </c>
      <c r="E49" s="55">
        <f>MIN(E47:E48)</f>
        <v>75.194151345477</v>
      </c>
      <c r="F49" s="55">
        <f>MIN(F47:F48)</f>
        <v>80.20709476850881</v>
      </c>
    </row>
    <row r="50" ht="12.75">
      <c r="A50" s="3"/>
    </row>
    <row r="51" ht="12.75">
      <c r="A51" s="56" t="s">
        <v>81</v>
      </c>
    </row>
    <row r="53" spans="2:4" ht="15.75">
      <c r="B53" s="1" t="s">
        <v>82</v>
      </c>
      <c r="C53" s="1">
        <f>3/5</f>
        <v>0.6</v>
      </c>
      <c r="D53" s="1" t="s">
        <v>84</v>
      </c>
    </row>
    <row r="54" spans="2:4" ht="15.75">
      <c r="B54" s="1" t="s">
        <v>83</v>
      </c>
      <c r="C54" s="1">
        <f>4/5</f>
        <v>0.8</v>
      </c>
      <c r="D54" s="1" t="s">
        <v>84</v>
      </c>
    </row>
    <row r="56" spans="1:2" ht="12.75">
      <c r="A56" s="26" t="s">
        <v>12</v>
      </c>
      <c r="B56" s="8"/>
    </row>
    <row r="57" spans="1:9" ht="12.75">
      <c r="A57" s="11" t="s">
        <v>68</v>
      </c>
      <c r="B57" s="11"/>
      <c r="C57" s="11"/>
      <c r="G57" s="11" t="s">
        <v>69</v>
      </c>
      <c r="H57" s="11"/>
      <c r="I57" s="11"/>
    </row>
    <row r="58" spans="2:9" ht="12.75">
      <c r="B58" s="11"/>
      <c r="C58" s="11"/>
      <c r="H58" s="11"/>
      <c r="I58" s="11"/>
    </row>
    <row r="59" spans="1:12" ht="15.75">
      <c r="A59" s="11" t="s">
        <v>42</v>
      </c>
      <c r="B59" s="11"/>
      <c r="C59" s="11"/>
      <c r="D59" s="1" t="s">
        <v>43</v>
      </c>
      <c r="E59" s="57">
        <f>1.6*C9</f>
        <v>1.6</v>
      </c>
      <c r="F59" s="1" t="s">
        <v>44</v>
      </c>
      <c r="G59" s="11" t="s">
        <v>63</v>
      </c>
      <c r="H59" s="11"/>
      <c r="I59" s="11"/>
      <c r="J59" s="1" t="s">
        <v>80</v>
      </c>
      <c r="K59" s="57">
        <f>1*C9</f>
        <v>1</v>
      </c>
      <c r="L59" s="1" t="s">
        <v>44</v>
      </c>
    </row>
    <row r="61" spans="1:6" ht="12.75">
      <c r="A61" s="29" t="s">
        <v>19</v>
      </c>
      <c r="B61" s="7" t="s">
        <v>70</v>
      </c>
      <c r="C61" s="7"/>
      <c r="D61" s="7"/>
      <c r="E61" s="7"/>
      <c r="F61" s="8"/>
    </row>
    <row r="62" spans="2:5" ht="12.75">
      <c r="B62" s="27"/>
      <c r="C62" s="11"/>
      <c r="D62" s="11"/>
      <c r="E62" s="11"/>
    </row>
    <row r="63" spans="2:5" ht="12.75">
      <c r="B63" s="11"/>
      <c r="C63" s="11"/>
      <c r="D63" s="11"/>
      <c r="E63" s="11"/>
    </row>
    <row r="64" spans="2:5" ht="12.75">
      <c r="B64" s="11" t="s">
        <v>71</v>
      </c>
      <c r="C64" s="11"/>
      <c r="D64" s="11"/>
      <c r="E64" s="11"/>
    </row>
    <row r="65" spans="2:5" ht="12.75">
      <c r="B65" s="11"/>
      <c r="C65" s="11"/>
      <c r="D65" s="11"/>
      <c r="E65" s="11"/>
    </row>
    <row r="66" spans="2:5" ht="15.75">
      <c r="B66" s="11" t="s">
        <v>73</v>
      </c>
      <c r="C66" s="74">
        <v>90</v>
      </c>
      <c r="D66" s="11" t="s">
        <v>74</v>
      </c>
      <c r="E66" s="11"/>
    </row>
    <row r="67" spans="2:5" ht="15.75">
      <c r="B67" s="11" t="s">
        <v>72</v>
      </c>
      <c r="C67" s="58">
        <f>+PI()*(C8/2)^2</f>
        <v>0.44178646691106466</v>
      </c>
      <c r="D67" s="11" t="s">
        <v>52</v>
      </c>
      <c r="E67" s="11"/>
    </row>
    <row r="68" spans="2:5" ht="15.75">
      <c r="B68" s="59" t="s">
        <v>77</v>
      </c>
      <c r="C68" s="60">
        <f>+C66*C67</f>
        <v>39.760782021995816</v>
      </c>
      <c r="D68" s="11" t="s">
        <v>75</v>
      </c>
      <c r="E68" s="11"/>
    </row>
    <row r="69" spans="2:5" ht="15.75">
      <c r="B69" s="59" t="s">
        <v>308</v>
      </c>
      <c r="C69" s="11">
        <v>6</v>
      </c>
      <c r="D69" s="59" t="s">
        <v>34</v>
      </c>
      <c r="E69" s="11"/>
    </row>
    <row r="70" spans="2:5" ht="15.75">
      <c r="B70" s="35" t="s">
        <v>78</v>
      </c>
      <c r="C70" s="61">
        <f>+C68*C69</f>
        <v>238.56469213197488</v>
      </c>
      <c r="D70" s="59" t="s">
        <v>79</v>
      </c>
      <c r="E70" s="11"/>
    </row>
    <row r="71" spans="2:5" ht="12.75">
      <c r="B71" s="11"/>
      <c r="C71" s="11"/>
      <c r="D71" s="11"/>
      <c r="E71" s="11"/>
    </row>
    <row r="72" spans="2:8" ht="12.75">
      <c r="B72" s="8" t="s">
        <v>7</v>
      </c>
      <c r="C72" s="8"/>
      <c r="D72" s="8"/>
      <c r="F72" s="8" t="s">
        <v>8</v>
      </c>
      <c r="G72" s="8"/>
      <c r="H72" s="8"/>
    </row>
    <row r="73" spans="2:7" ht="12.75">
      <c r="B73" s="30" t="s">
        <v>40</v>
      </c>
      <c r="C73" s="1">
        <v>0.75</v>
      </c>
      <c r="F73" s="30" t="s">
        <v>41</v>
      </c>
      <c r="G73" s="1">
        <v>2</v>
      </c>
    </row>
    <row r="74" spans="2:8" ht="15.75">
      <c r="B74" s="30" t="s">
        <v>57</v>
      </c>
      <c r="C74" s="62">
        <f>+C70*C73</f>
        <v>178.92351909898116</v>
      </c>
      <c r="D74" s="3" t="s">
        <v>26</v>
      </c>
      <c r="E74" s="34"/>
      <c r="F74" s="35" t="s">
        <v>58</v>
      </c>
      <c r="G74" s="62">
        <f>+C70/G73</f>
        <v>119.28234606598744</v>
      </c>
      <c r="H74" s="3" t="s">
        <v>26</v>
      </c>
    </row>
    <row r="75" spans="2:8" ht="15.75">
      <c r="B75" s="59" t="s">
        <v>86</v>
      </c>
      <c r="C75" s="63">
        <f>+C74/E59</f>
        <v>111.82719943686322</v>
      </c>
      <c r="D75" s="27" t="s">
        <v>26</v>
      </c>
      <c r="E75" s="11"/>
      <c r="F75" s="59" t="s">
        <v>86</v>
      </c>
      <c r="G75" s="62">
        <f>+G74/K59</f>
        <v>119.28234606598744</v>
      </c>
      <c r="H75" s="3" t="s">
        <v>26</v>
      </c>
    </row>
    <row r="76" spans="2:8" ht="14.25">
      <c r="B76" s="64" t="s">
        <v>96</v>
      </c>
      <c r="C76" s="65">
        <f>+C75/C53</f>
        <v>186.37866572810537</v>
      </c>
      <c r="D76" s="64" t="s">
        <v>26</v>
      </c>
      <c r="E76" s="66"/>
      <c r="F76" s="64" t="s">
        <v>96</v>
      </c>
      <c r="G76" s="67">
        <f>+G75/C53</f>
        <v>198.80391010997909</v>
      </c>
      <c r="H76" s="68" t="s">
        <v>26</v>
      </c>
    </row>
    <row r="77" spans="2:5" ht="12.75">
      <c r="B77" s="11"/>
      <c r="C77" s="11"/>
      <c r="D77" s="11"/>
      <c r="E77" s="11"/>
    </row>
    <row r="78" spans="2:5" ht="12.75">
      <c r="B78" s="59" t="s">
        <v>89</v>
      </c>
      <c r="C78" s="11"/>
      <c r="D78" s="11"/>
      <c r="E78" s="11"/>
    </row>
    <row r="79" spans="2:5" ht="12.75">
      <c r="B79" s="11"/>
      <c r="C79" s="11"/>
      <c r="D79" s="11"/>
      <c r="E79" s="11"/>
    </row>
    <row r="80" spans="2:4" ht="12.75">
      <c r="B80" s="30" t="s">
        <v>24</v>
      </c>
      <c r="C80" s="162">
        <v>0.3</v>
      </c>
      <c r="D80" s="1" t="s">
        <v>28</v>
      </c>
    </row>
    <row r="81" spans="2:3" ht="15.75">
      <c r="B81" s="1" t="s">
        <v>29</v>
      </c>
      <c r="C81" s="37">
        <v>1.13</v>
      </c>
    </row>
    <row r="82" spans="2:4" ht="15.75">
      <c r="B82" s="1" t="s">
        <v>302</v>
      </c>
      <c r="C82" s="37">
        <v>1</v>
      </c>
      <c r="D82" s="1" t="s">
        <v>307</v>
      </c>
    </row>
    <row r="83" spans="2:4" ht="15.75">
      <c r="B83" s="1" t="s">
        <v>30</v>
      </c>
      <c r="C83" s="37">
        <v>28</v>
      </c>
      <c r="D83" s="1" t="s">
        <v>27</v>
      </c>
    </row>
    <row r="84" spans="2:5" ht="15.75">
      <c r="B84" s="8" t="s">
        <v>31</v>
      </c>
      <c r="C84" s="39">
        <v>1</v>
      </c>
      <c r="D84" s="8" t="s">
        <v>54</v>
      </c>
      <c r="E84" s="8"/>
    </row>
    <row r="85" spans="2:4" ht="15.75">
      <c r="B85" s="1" t="s">
        <v>32</v>
      </c>
      <c r="C85" s="85">
        <f>+C80*C81*C82*C83*C84</f>
        <v>9.491999999999999</v>
      </c>
      <c r="D85" s="1" t="s">
        <v>27</v>
      </c>
    </row>
    <row r="86" spans="2:5" ht="15.75">
      <c r="B86" s="8" t="s">
        <v>36</v>
      </c>
      <c r="C86" s="8">
        <v>6</v>
      </c>
      <c r="D86" s="8" t="s">
        <v>34</v>
      </c>
      <c r="E86" s="8"/>
    </row>
    <row r="87" spans="2:4" ht="15.75">
      <c r="B87" s="1" t="s">
        <v>37</v>
      </c>
      <c r="C87" s="31">
        <f>+C85*C86</f>
        <v>56.952</v>
      </c>
      <c r="D87" s="1" t="s">
        <v>35</v>
      </c>
    </row>
    <row r="90" spans="2:8" ht="12.75">
      <c r="B90" s="8" t="s">
        <v>7</v>
      </c>
      <c r="C90" s="8"/>
      <c r="D90" s="8"/>
      <c r="F90" s="8" t="s">
        <v>8</v>
      </c>
      <c r="G90" s="8"/>
      <c r="H90" s="8"/>
    </row>
    <row r="100" spans="2:7" ht="12.75">
      <c r="B100" s="30" t="s">
        <v>40</v>
      </c>
      <c r="C100" s="1">
        <v>1</v>
      </c>
      <c r="F100" s="30" t="s">
        <v>41</v>
      </c>
      <c r="G100" s="1">
        <v>1.5</v>
      </c>
    </row>
    <row r="101" spans="2:8" ht="15.75">
      <c r="B101" s="30" t="s">
        <v>57</v>
      </c>
      <c r="C101" s="69">
        <f>+C87*C100</f>
        <v>56.952</v>
      </c>
      <c r="D101" s="35" t="s">
        <v>26</v>
      </c>
      <c r="E101" s="35"/>
      <c r="F101" s="35" t="s">
        <v>58</v>
      </c>
      <c r="G101" s="69">
        <f>+C87/G100</f>
        <v>37.967999999999996</v>
      </c>
      <c r="H101" s="35" t="s">
        <v>26</v>
      </c>
    </row>
    <row r="102" spans="2:8" ht="14.25">
      <c r="B102" s="64" t="s">
        <v>93</v>
      </c>
      <c r="C102" s="70">
        <f>+C101/(1.28+0.96*C101/(C81*C83*C86))</f>
        <v>36.32142857142857</v>
      </c>
      <c r="D102" s="68" t="s">
        <v>26</v>
      </c>
      <c r="E102" s="2"/>
      <c r="F102" s="64" t="s">
        <v>93</v>
      </c>
      <c r="G102" s="70">
        <f>+G101/(0.8+0.9*G101/C81/C83/C86)</f>
        <v>38.74285714285713</v>
      </c>
      <c r="H102" s="68" t="s">
        <v>26</v>
      </c>
    </row>
    <row r="105" spans="1:3" ht="12.75">
      <c r="A105" s="29" t="s">
        <v>20</v>
      </c>
      <c r="B105" s="7" t="s">
        <v>87</v>
      </c>
      <c r="C105" s="7"/>
    </row>
    <row r="107" ht="12.75">
      <c r="B107" s="1" t="s">
        <v>88</v>
      </c>
    </row>
    <row r="109" spans="2:4" ht="15.75">
      <c r="B109" s="1" t="s">
        <v>51</v>
      </c>
      <c r="C109" s="37">
        <v>54</v>
      </c>
      <c r="D109" s="1" t="s">
        <v>50</v>
      </c>
    </row>
    <row r="110" spans="2:5" ht="15.75">
      <c r="B110" s="8" t="s">
        <v>49</v>
      </c>
      <c r="C110" s="36">
        <f>PI()*(C8/2)^2</f>
        <v>0.44178646691106466</v>
      </c>
      <c r="D110" s="8" t="s">
        <v>52</v>
      </c>
      <c r="E110" s="8"/>
    </row>
    <row r="111" spans="2:4" ht="15.75">
      <c r="B111" s="1" t="s">
        <v>32</v>
      </c>
      <c r="C111" s="31">
        <f>+C109*C110</f>
        <v>23.856469213197492</v>
      </c>
      <c r="D111" s="1" t="s">
        <v>53</v>
      </c>
    </row>
    <row r="112" spans="2:4" ht="12.75">
      <c r="B112" s="1" t="s">
        <v>25</v>
      </c>
      <c r="C112" s="37">
        <v>1</v>
      </c>
      <c r="D112" s="1" t="s">
        <v>54</v>
      </c>
    </row>
    <row r="113" spans="2:5" ht="12.75">
      <c r="B113" s="8" t="s">
        <v>33</v>
      </c>
      <c r="C113" s="39">
        <v>6</v>
      </c>
      <c r="D113" s="8" t="s">
        <v>34</v>
      </c>
      <c r="E113" s="8"/>
    </row>
    <row r="114" spans="2:4" ht="15.75">
      <c r="B114" s="1" t="s">
        <v>37</v>
      </c>
      <c r="C114" s="32">
        <f>+C111*C112*C113</f>
        <v>143.13881527918494</v>
      </c>
      <c r="D114" s="1" t="s">
        <v>35</v>
      </c>
    </row>
    <row r="116" spans="2:8" ht="12.75">
      <c r="B116" s="8" t="s">
        <v>7</v>
      </c>
      <c r="C116" s="8"/>
      <c r="D116" s="8"/>
      <c r="F116" s="8" t="s">
        <v>8</v>
      </c>
      <c r="G116" s="8"/>
      <c r="H116" s="8"/>
    </row>
    <row r="117" spans="2:7" ht="12.75">
      <c r="B117" s="30" t="s">
        <v>40</v>
      </c>
      <c r="C117" s="1">
        <v>0.75</v>
      </c>
      <c r="F117" s="30" t="s">
        <v>41</v>
      </c>
      <c r="G117" s="1">
        <v>2</v>
      </c>
    </row>
    <row r="118" spans="2:8" ht="15.75">
      <c r="B118" s="30" t="s">
        <v>57</v>
      </c>
      <c r="C118" s="71">
        <f>+C114*C117</f>
        <v>107.3541114593887</v>
      </c>
      <c r="D118" s="35" t="s">
        <v>26</v>
      </c>
      <c r="E118" s="35"/>
      <c r="F118" s="35" t="s">
        <v>58</v>
      </c>
      <c r="G118" s="72">
        <f>+C114/G117</f>
        <v>71.56940763959247</v>
      </c>
      <c r="H118" s="35" t="s">
        <v>26</v>
      </c>
    </row>
    <row r="119" spans="2:8" ht="12.75">
      <c r="B119" s="73" t="s">
        <v>90</v>
      </c>
      <c r="C119" s="71">
        <f>+C118/E59</f>
        <v>67.09631966211793</v>
      </c>
      <c r="D119" s="35" t="s">
        <v>26</v>
      </c>
      <c r="E119" s="35"/>
      <c r="F119" s="73" t="s">
        <v>90</v>
      </c>
      <c r="G119" s="72">
        <f>+G118/K59</f>
        <v>71.56940763959247</v>
      </c>
      <c r="H119" s="35" t="s">
        <v>26</v>
      </c>
    </row>
    <row r="120" spans="2:8" ht="14.25">
      <c r="B120" s="64" t="s">
        <v>93</v>
      </c>
      <c r="C120" s="70">
        <f>+C119/C54</f>
        <v>83.87039957764742</v>
      </c>
      <c r="D120" s="68" t="s">
        <v>26</v>
      </c>
      <c r="E120" s="2"/>
      <c r="F120" s="64" t="s">
        <v>93</v>
      </c>
      <c r="G120" s="70">
        <f>+G119/C54</f>
        <v>89.46175954949058</v>
      </c>
      <c r="H120" s="68" t="s">
        <v>26</v>
      </c>
    </row>
    <row r="123" ht="12.75">
      <c r="B123" s="1" t="s">
        <v>94</v>
      </c>
    </row>
    <row r="125" spans="2:5" ht="15.75">
      <c r="B125" s="11" t="s">
        <v>73</v>
      </c>
      <c r="C125" s="74">
        <v>90</v>
      </c>
      <c r="D125" s="11" t="s">
        <v>74</v>
      </c>
      <c r="E125" s="11"/>
    </row>
    <row r="126" spans="2:5" ht="15.75">
      <c r="B126" s="11" t="s">
        <v>72</v>
      </c>
      <c r="C126" s="58">
        <f>+PI()*(C8/2)^2</f>
        <v>0.44178646691106466</v>
      </c>
      <c r="D126" s="11" t="s">
        <v>52</v>
      </c>
      <c r="E126" s="11"/>
    </row>
    <row r="127" spans="2:5" ht="15.75">
      <c r="B127" s="59" t="s">
        <v>77</v>
      </c>
      <c r="C127" s="60">
        <f>+C125*C126</f>
        <v>39.760782021995816</v>
      </c>
      <c r="D127" s="11" t="s">
        <v>75</v>
      </c>
      <c r="E127" s="11"/>
    </row>
    <row r="128" spans="2:5" ht="15.75">
      <c r="B128" s="59" t="s">
        <v>76</v>
      </c>
      <c r="C128" s="74">
        <v>6</v>
      </c>
      <c r="D128" s="59" t="s">
        <v>34</v>
      </c>
      <c r="E128" s="11"/>
    </row>
    <row r="129" spans="2:5" ht="15.75">
      <c r="B129" s="35" t="s">
        <v>78</v>
      </c>
      <c r="C129" s="61">
        <f>+C127*C128</f>
        <v>238.56469213197488</v>
      </c>
      <c r="D129" s="59" t="s">
        <v>79</v>
      </c>
      <c r="E129" s="11"/>
    </row>
    <row r="130" spans="2:5" ht="12.75">
      <c r="B130" s="11"/>
      <c r="C130" s="11"/>
      <c r="D130" s="11"/>
      <c r="E130" s="11"/>
    </row>
    <row r="131" spans="2:9" ht="12.75">
      <c r="B131" s="8" t="s">
        <v>7</v>
      </c>
      <c r="C131" s="8"/>
      <c r="D131" s="8"/>
      <c r="G131" s="8" t="s">
        <v>8</v>
      </c>
      <c r="H131" s="8"/>
      <c r="I131" s="8"/>
    </row>
    <row r="132" spans="2:8" ht="12.75">
      <c r="B132" s="30" t="s">
        <v>40</v>
      </c>
      <c r="C132" s="1">
        <v>0.75</v>
      </c>
      <c r="G132" s="30" t="s">
        <v>41</v>
      </c>
      <c r="H132" s="1">
        <v>2</v>
      </c>
    </row>
    <row r="133" spans="2:7" ht="12.75">
      <c r="B133" s="30"/>
      <c r="G133" s="30"/>
    </row>
    <row r="134" spans="2:7" ht="12.75">
      <c r="B134" s="59" t="s">
        <v>97</v>
      </c>
      <c r="G134" s="59" t="s">
        <v>97</v>
      </c>
    </row>
    <row r="135" spans="2:9" ht="15.75">
      <c r="B135" s="30" t="s">
        <v>57</v>
      </c>
      <c r="C135" s="62">
        <f>+C129*C132</f>
        <v>178.92351909898116</v>
      </c>
      <c r="D135" s="3" t="s">
        <v>26</v>
      </c>
      <c r="E135" s="34"/>
      <c r="G135" s="35" t="s">
        <v>58</v>
      </c>
      <c r="H135" s="62">
        <f>+C129/H132</f>
        <v>119.28234606598744</v>
      </c>
      <c r="I135" s="3" t="s">
        <v>26</v>
      </c>
    </row>
    <row r="136" spans="2:9" ht="15.75">
      <c r="B136" s="59" t="s">
        <v>95</v>
      </c>
      <c r="C136" s="63">
        <f>+C135/E59</f>
        <v>111.82719943686322</v>
      </c>
      <c r="D136" s="27" t="s">
        <v>26</v>
      </c>
      <c r="E136" s="11"/>
      <c r="G136" s="59" t="s">
        <v>95</v>
      </c>
      <c r="H136" s="62">
        <f>+H135/K59</f>
        <v>119.28234606598744</v>
      </c>
      <c r="I136" s="3" t="s">
        <v>26</v>
      </c>
    </row>
    <row r="137" spans="2:9" ht="15.75">
      <c r="B137" s="59" t="s">
        <v>85</v>
      </c>
      <c r="C137" s="61">
        <f>+C136/C53</f>
        <v>186.37866572810537</v>
      </c>
      <c r="D137" s="11" t="s">
        <v>26</v>
      </c>
      <c r="E137" s="11"/>
      <c r="G137" s="59" t="s">
        <v>85</v>
      </c>
      <c r="H137" s="32">
        <f>+H136/C53</f>
        <v>198.80391010997909</v>
      </c>
      <c r="I137" s="1" t="s">
        <v>26</v>
      </c>
    </row>
    <row r="139" spans="2:7" ht="12.75">
      <c r="B139" s="1" t="s">
        <v>98</v>
      </c>
      <c r="G139" s="1" t="s">
        <v>98</v>
      </c>
    </row>
    <row r="155" spans="2:9" ht="14.25">
      <c r="B155" s="64" t="s">
        <v>96</v>
      </c>
      <c r="C155" s="70">
        <f>1.3*C135/(0.96+1.28*C125/C109)</f>
        <v>75.194151345477</v>
      </c>
      <c r="D155" s="68" t="s">
        <v>26</v>
      </c>
      <c r="G155" s="64" t="s">
        <v>96</v>
      </c>
      <c r="H155" s="70">
        <f>1.3*H135/(0.6+0.8*C125/C109)</f>
        <v>80.20709476850881</v>
      </c>
      <c r="I155" s="68" t="s">
        <v>26</v>
      </c>
    </row>
  </sheetData>
  <sheetProtection password="CADF" sheet="1"/>
  <printOptions/>
  <pageMargins left="0.75" right="0.75" top="1" bottom="1" header="0.5" footer="0.5"/>
  <pageSetup horizontalDpi="300" verticalDpi="300" orientation="portrait" r:id="rId7"/>
  <legacyDrawing r:id="rId6"/>
  <oleObjects>
    <oleObject progId="Equation.3" shapeId="223616" r:id="rId1"/>
    <oleObject progId="Equation.3" shapeId="258364" r:id="rId2"/>
    <oleObject progId="Equation.3" shapeId="455810" r:id="rId3"/>
    <oleObject progId="Equation.3" shapeId="503801" r:id="rId4"/>
    <oleObject progId="AutoCAD.Drawing.17" shapeId="33226956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0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tr">
        <f>+'Example 4.1'!A1</f>
        <v>A Beginner's Guide to the Steel Construction Manual, 14th ed</v>
      </c>
      <c r="H1" s="3" t="s">
        <v>300</v>
      </c>
    </row>
    <row r="2" spans="1:8" ht="12.75">
      <c r="A2" s="2" t="s">
        <v>272</v>
      </c>
      <c r="H2" s="1" t="s">
        <v>256</v>
      </c>
    </row>
    <row r="4" spans="1:2" ht="12.75">
      <c r="A4" s="2" t="s">
        <v>59</v>
      </c>
      <c r="B4" s="1" t="s">
        <v>299</v>
      </c>
    </row>
    <row r="5" spans="1:2" ht="12.75">
      <c r="A5" s="2"/>
      <c r="B5" s="1" t="s">
        <v>118</v>
      </c>
    </row>
    <row r="6" spans="1:2" ht="12.75">
      <c r="A6" s="2"/>
      <c r="B6" s="3" t="s">
        <v>104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119</v>
      </c>
      <c r="C9" s="38">
        <v>0.5</v>
      </c>
      <c r="I9" s="40"/>
    </row>
    <row r="10" spans="2:9" ht="12.75">
      <c r="B10" s="4" t="s">
        <v>120</v>
      </c>
      <c r="C10" s="5">
        <f>1-C9</f>
        <v>0.5</v>
      </c>
      <c r="E10" s="75"/>
      <c r="I10" s="40"/>
    </row>
    <row r="11" spans="2:9" ht="12.75">
      <c r="B11" s="4"/>
      <c r="C11" s="5"/>
      <c r="E11" s="75"/>
      <c r="I11" s="40"/>
    </row>
    <row r="12" spans="2:9" ht="12.75">
      <c r="B12" s="3" t="s">
        <v>281</v>
      </c>
      <c r="C12" s="5"/>
      <c r="E12" s="75"/>
      <c r="I12" s="40"/>
    </row>
    <row r="13" spans="2:9" ht="12.75">
      <c r="B13" s="3" t="s">
        <v>282</v>
      </c>
      <c r="C13" s="5"/>
      <c r="E13" s="75"/>
      <c r="I13" s="40"/>
    </row>
    <row r="14" spans="2:9" ht="12.75">
      <c r="B14" s="3" t="s">
        <v>293</v>
      </c>
      <c r="C14" s="5"/>
      <c r="E14" s="75"/>
      <c r="I14" s="40"/>
    </row>
    <row r="15" spans="2:9" ht="12.75">
      <c r="B15" s="3" t="s">
        <v>284</v>
      </c>
      <c r="C15" s="5"/>
      <c r="E15" s="75"/>
      <c r="I15" s="40"/>
    </row>
    <row r="16" spans="2:9" ht="12.75">
      <c r="B16" s="3" t="s">
        <v>285</v>
      </c>
      <c r="C16" s="5"/>
      <c r="E16" s="75"/>
      <c r="I16" s="40"/>
    </row>
    <row r="17" spans="2:9" ht="12.75">
      <c r="B17" s="4"/>
      <c r="C17" s="5"/>
      <c r="E17" s="75"/>
      <c r="I17" s="40"/>
    </row>
    <row r="18" spans="2:9" ht="12.75">
      <c r="B18" s="3" t="s">
        <v>286</v>
      </c>
      <c r="C18" s="5"/>
      <c r="E18" s="75"/>
      <c r="I18" s="40"/>
    </row>
    <row r="19" spans="2:9" ht="12.75">
      <c r="B19" s="4"/>
      <c r="C19" s="5"/>
      <c r="E19" s="75"/>
      <c r="I19" s="40"/>
    </row>
    <row r="20" spans="2:9" ht="12.75">
      <c r="B20" s="4"/>
      <c r="C20" s="5"/>
      <c r="E20" s="75"/>
      <c r="I20" s="40"/>
    </row>
    <row r="21" spans="2:9" ht="12.75">
      <c r="B21" s="4"/>
      <c r="C21" s="5"/>
      <c r="E21" s="75"/>
      <c r="I21" s="40"/>
    </row>
    <row r="22" spans="2:9" ht="12.75">
      <c r="B22" s="4"/>
      <c r="C22" s="5"/>
      <c r="E22" s="75"/>
      <c r="I22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105</v>
      </c>
    </row>
    <row r="29" spans="1:2" ht="12.75">
      <c r="A29" s="6" t="s">
        <v>20</v>
      </c>
      <c r="B29" s="1" t="s">
        <v>106</v>
      </c>
    </row>
    <row r="31" ht="12.75">
      <c r="A31" s="2" t="s">
        <v>151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5" ht="12.75">
      <c r="B35" s="1" t="s">
        <v>149</v>
      </c>
    </row>
    <row r="37" spans="3:4" ht="12.75">
      <c r="C37" s="13" t="s">
        <v>7</v>
      </c>
      <c r="D37" s="13" t="s">
        <v>8</v>
      </c>
    </row>
    <row r="38" spans="3:4" ht="12.75">
      <c r="C38" s="17" t="s">
        <v>10</v>
      </c>
      <c r="D38" s="17" t="s">
        <v>10</v>
      </c>
    </row>
    <row r="39" spans="2:4" ht="15.75">
      <c r="B39" s="64" t="s">
        <v>150</v>
      </c>
      <c r="C39" s="76">
        <f>+D103</f>
        <v>37.30164610662232</v>
      </c>
      <c r="D39" s="76">
        <f>+I103</f>
        <v>34.81486969951416</v>
      </c>
    </row>
    <row r="43" spans="1:2" ht="12.75">
      <c r="A43" s="26" t="s">
        <v>12</v>
      </c>
      <c r="B43" s="8"/>
    </row>
    <row r="44" spans="1:9" ht="12.75">
      <c r="A44" s="11" t="s">
        <v>47</v>
      </c>
      <c r="B44" s="11"/>
      <c r="C44" s="11"/>
      <c r="G44" s="11" t="s">
        <v>121</v>
      </c>
      <c r="H44" s="11"/>
      <c r="I44" s="11"/>
    </row>
    <row r="45" spans="2:9" ht="12.75">
      <c r="B45" s="11"/>
      <c r="C45" s="11"/>
      <c r="H45" s="11"/>
      <c r="I45" s="11"/>
    </row>
    <row r="46" spans="1:12" ht="15.75">
      <c r="A46" s="11" t="s">
        <v>42</v>
      </c>
      <c r="B46" s="11"/>
      <c r="C46" s="11"/>
      <c r="D46" s="1" t="s">
        <v>43</v>
      </c>
      <c r="E46" s="57">
        <f>1.2*C9+1.6*C10</f>
        <v>1.4</v>
      </c>
      <c r="F46" s="3" t="s">
        <v>276</v>
      </c>
      <c r="G46" s="11" t="s">
        <v>63</v>
      </c>
      <c r="H46" s="11"/>
      <c r="I46" s="11"/>
      <c r="J46" s="1" t="s">
        <v>80</v>
      </c>
      <c r="K46" s="57">
        <f>1*C9+1*C10</f>
        <v>1</v>
      </c>
      <c r="L46" s="3" t="s">
        <v>276</v>
      </c>
    </row>
    <row r="48" spans="1:5" ht="12.75">
      <c r="A48" s="29" t="s">
        <v>20</v>
      </c>
      <c r="B48" s="7" t="s">
        <v>48</v>
      </c>
      <c r="C48" s="8"/>
      <c r="D48" s="8"/>
      <c r="E48" s="8"/>
    </row>
    <row r="50" spans="2:4" ht="15.75">
      <c r="B50" s="1" t="s">
        <v>51</v>
      </c>
      <c r="C50" s="37">
        <v>68</v>
      </c>
      <c r="D50" s="1" t="s">
        <v>50</v>
      </c>
    </row>
    <row r="51" spans="2:5" ht="15.75">
      <c r="B51" s="8" t="s">
        <v>49</v>
      </c>
      <c r="C51" s="36">
        <f>PI()*(C8/2)^2</f>
        <v>0.44178646691106466</v>
      </c>
      <c r="D51" s="8" t="s">
        <v>52</v>
      </c>
      <c r="E51" s="8"/>
    </row>
    <row r="52" spans="2:4" ht="15.75">
      <c r="B52" s="1" t="s">
        <v>32</v>
      </c>
      <c r="C52" s="31">
        <f>+C50*C51</f>
        <v>30.041479749952398</v>
      </c>
      <c r="D52" s="1" t="s">
        <v>53</v>
      </c>
    </row>
    <row r="53" spans="2:5" ht="12.75">
      <c r="B53" s="8" t="s">
        <v>25</v>
      </c>
      <c r="C53" s="39">
        <v>1</v>
      </c>
      <c r="D53" s="8" t="s">
        <v>107</v>
      </c>
      <c r="E53" s="8"/>
    </row>
    <row r="54" spans="2:4" ht="15.75">
      <c r="B54" s="1" t="s">
        <v>32</v>
      </c>
      <c r="C54" s="31">
        <f>+C52*C53</f>
        <v>30.041479749952398</v>
      </c>
      <c r="D54" s="1" t="s">
        <v>27</v>
      </c>
    </row>
    <row r="56" spans="2:8" ht="12.75">
      <c r="B56" s="8" t="s">
        <v>7</v>
      </c>
      <c r="C56" s="8"/>
      <c r="D56" s="8"/>
      <c r="F56" s="8" t="s">
        <v>8</v>
      </c>
      <c r="G56" s="8"/>
      <c r="H56" s="8"/>
    </row>
    <row r="57" spans="2:7" ht="12.75">
      <c r="B57" s="30" t="s">
        <v>40</v>
      </c>
      <c r="C57" s="1">
        <v>0.75</v>
      </c>
      <c r="F57" s="30" t="s">
        <v>41</v>
      </c>
      <c r="G57" s="1">
        <v>2</v>
      </c>
    </row>
    <row r="58" spans="2:8" ht="15.75">
      <c r="B58" s="30" t="s">
        <v>57</v>
      </c>
      <c r="C58" s="77">
        <f>+C54*C57</f>
        <v>22.531109812464297</v>
      </c>
      <c r="D58" s="34" t="s">
        <v>26</v>
      </c>
      <c r="E58" s="34"/>
      <c r="F58" s="35" t="s">
        <v>58</v>
      </c>
      <c r="G58" s="77">
        <f>+C54/G57</f>
        <v>15.020739874976199</v>
      </c>
      <c r="H58" s="34" t="s">
        <v>26</v>
      </c>
    </row>
    <row r="60" ht="12.75">
      <c r="A60" s="1" t="s">
        <v>108</v>
      </c>
    </row>
    <row r="62" spans="2:7" ht="15.75">
      <c r="B62" s="1" t="s">
        <v>109</v>
      </c>
      <c r="C62" s="37">
        <v>10</v>
      </c>
      <c r="D62" s="1" t="s">
        <v>117</v>
      </c>
      <c r="E62" s="1" t="s">
        <v>113</v>
      </c>
      <c r="F62" s="78">
        <f>+C62*SIN(C63*PI()/180)</f>
        <v>4.999999999999999</v>
      </c>
      <c r="G62" s="1" t="s">
        <v>117</v>
      </c>
    </row>
    <row r="63" spans="2:7" ht="15.75">
      <c r="B63" s="30" t="s">
        <v>110</v>
      </c>
      <c r="C63" s="37">
        <v>30</v>
      </c>
      <c r="D63" s="1" t="s">
        <v>111</v>
      </c>
      <c r="E63" s="1" t="s">
        <v>112</v>
      </c>
      <c r="F63" s="78">
        <f>-C62*COS(C63*PI()/180)</f>
        <v>-8.660254037844387</v>
      </c>
      <c r="G63" s="1" t="s">
        <v>117</v>
      </c>
    </row>
    <row r="64" spans="2:7" ht="12.75">
      <c r="B64" s="1" t="s">
        <v>114</v>
      </c>
      <c r="C64" s="37">
        <f>6+3.5/2</f>
        <v>7.75</v>
      </c>
      <c r="D64" s="1" t="s">
        <v>0</v>
      </c>
      <c r="E64" s="1" t="s">
        <v>115</v>
      </c>
      <c r="F64" s="1">
        <f>+C62*C64</f>
        <v>77.5</v>
      </c>
      <c r="G64" s="1" t="s">
        <v>116</v>
      </c>
    </row>
    <row r="66" ht="12.75">
      <c r="B66" s="1" t="s">
        <v>143</v>
      </c>
    </row>
    <row r="68" spans="2:7" ht="15.75">
      <c r="B68" s="52" t="s">
        <v>122</v>
      </c>
      <c r="C68" s="52" t="s">
        <v>124</v>
      </c>
      <c r="D68" s="52" t="s">
        <v>125</v>
      </c>
      <c r="E68" s="52" t="s">
        <v>126</v>
      </c>
      <c r="F68" s="52" t="s">
        <v>133</v>
      </c>
      <c r="G68" s="52" t="s">
        <v>134</v>
      </c>
    </row>
    <row r="69" spans="2:7" ht="14.25">
      <c r="B69" s="52"/>
      <c r="C69" s="17" t="s">
        <v>123</v>
      </c>
      <c r="D69" s="17" t="s">
        <v>123</v>
      </c>
      <c r="E69" s="17" t="s">
        <v>123</v>
      </c>
      <c r="F69" s="79" t="s">
        <v>132</v>
      </c>
      <c r="G69" s="79" t="s">
        <v>132</v>
      </c>
    </row>
    <row r="70" spans="2:7" ht="12.75">
      <c r="B70" s="79">
        <v>1</v>
      </c>
      <c r="C70" s="98">
        <f>-3.5/2</f>
        <v>-1.75</v>
      </c>
      <c r="D70" s="98">
        <f>9/2</f>
        <v>4.5</v>
      </c>
      <c r="E70" s="80">
        <f>SQRT(C70^2+D70^2)</f>
        <v>4.828301978956992</v>
      </c>
      <c r="F70" s="80">
        <f>+D70^2*C$51</f>
        <v>8.946175954949059</v>
      </c>
      <c r="G70" s="80">
        <f>+C70^2*C$51</f>
        <v>1.3529710549151355</v>
      </c>
    </row>
    <row r="71" spans="2:7" ht="12.75">
      <c r="B71" s="13">
        <v>2</v>
      </c>
      <c r="C71" s="99">
        <f>-C70</f>
        <v>1.75</v>
      </c>
      <c r="D71" s="99">
        <f>+D70</f>
        <v>4.5</v>
      </c>
      <c r="E71" s="81">
        <f aca="true" t="shared" si="0" ref="E71:E77">SQRT(C71^2+D71^2)</f>
        <v>4.828301978956992</v>
      </c>
      <c r="F71" s="81">
        <f aca="true" t="shared" si="1" ref="F71:F77">+D71^2*C$51</f>
        <v>8.946175954949059</v>
      </c>
      <c r="G71" s="81">
        <f aca="true" t="shared" si="2" ref="G71:G77">+C71^2*C$51</f>
        <v>1.3529710549151355</v>
      </c>
    </row>
    <row r="72" spans="2:7" ht="12.75">
      <c r="B72" s="13">
        <v>3</v>
      </c>
      <c r="C72" s="99">
        <f aca="true" t="shared" si="3" ref="C72:C77">+C70</f>
        <v>-1.75</v>
      </c>
      <c r="D72" s="99">
        <v>1.5</v>
      </c>
      <c r="E72" s="81">
        <f t="shared" si="0"/>
        <v>2.3048861143232218</v>
      </c>
      <c r="F72" s="81">
        <f t="shared" si="1"/>
        <v>0.9940195505498954</v>
      </c>
      <c r="G72" s="81">
        <f t="shared" si="2"/>
        <v>1.3529710549151355</v>
      </c>
    </row>
    <row r="73" spans="2:7" ht="12.75">
      <c r="B73" s="13">
        <v>4</v>
      </c>
      <c r="C73" s="99">
        <f t="shared" si="3"/>
        <v>1.75</v>
      </c>
      <c r="D73" s="99">
        <v>1.5</v>
      </c>
      <c r="E73" s="81">
        <f t="shared" si="0"/>
        <v>2.3048861143232218</v>
      </c>
      <c r="F73" s="81">
        <f t="shared" si="1"/>
        <v>0.9940195505498954</v>
      </c>
      <c r="G73" s="81">
        <f t="shared" si="2"/>
        <v>1.3529710549151355</v>
      </c>
    </row>
    <row r="74" spans="2:7" ht="12.75">
      <c r="B74" s="13">
        <v>5</v>
      </c>
      <c r="C74" s="99">
        <f t="shared" si="3"/>
        <v>-1.75</v>
      </c>
      <c r="D74" s="99">
        <f>-D73</f>
        <v>-1.5</v>
      </c>
      <c r="E74" s="81">
        <f t="shared" si="0"/>
        <v>2.3048861143232218</v>
      </c>
      <c r="F74" s="81">
        <f t="shared" si="1"/>
        <v>0.9940195505498954</v>
      </c>
      <c r="G74" s="81">
        <f t="shared" si="2"/>
        <v>1.3529710549151355</v>
      </c>
    </row>
    <row r="75" spans="2:7" ht="12.75">
      <c r="B75" s="13">
        <v>6</v>
      </c>
      <c r="C75" s="99">
        <f t="shared" si="3"/>
        <v>1.75</v>
      </c>
      <c r="D75" s="99">
        <f>-D72</f>
        <v>-1.5</v>
      </c>
      <c r="E75" s="81">
        <f t="shared" si="0"/>
        <v>2.3048861143232218</v>
      </c>
      <c r="F75" s="81">
        <f t="shared" si="1"/>
        <v>0.9940195505498954</v>
      </c>
      <c r="G75" s="81">
        <f t="shared" si="2"/>
        <v>1.3529710549151355</v>
      </c>
    </row>
    <row r="76" spans="2:7" ht="12.75">
      <c r="B76" s="13">
        <v>7</v>
      </c>
      <c r="C76" s="99">
        <f t="shared" si="3"/>
        <v>-1.75</v>
      </c>
      <c r="D76" s="99">
        <f>-D71</f>
        <v>-4.5</v>
      </c>
      <c r="E76" s="81">
        <f t="shared" si="0"/>
        <v>4.828301978956992</v>
      </c>
      <c r="F76" s="81">
        <f t="shared" si="1"/>
        <v>8.946175954949059</v>
      </c>
      <c r="G76" s="81">
        <f t="shared" si="2"/>
        <v>1.3529710549151355</v>
      </c>
    </row>
    <row r="77" spans="2:7" ht="12.75">
      <c r="B77" s="82">
        <v>8</v>
      </c>
      <c r="C77" s="100">
        <f t="shared" si="3"/>
        <v>1.75</v>
      </c>
      <c r="D77" s="100">
        <f>-D70</f>
        <v>-4.5</v>
      </c>
      <c r="E77" s="83">
        <f t="shared" si="0"/>
        <v>4.828301978956992</v>
      </c>
      <c r="F77" s="83">
        <f t="shared" si="1"/>
        <v>8.946175954949059</v>
      </c>
      <c r="G77" s="83">
        <f t="shared" si="2"/>
        <v>1.3529710549151355</v>
      </c>
    </row>
    <row r="78" spans="6:7" ht="12.75">
      <c r="F78" s="84">
        <f>SUM(F70:F77)</f>
        <v>39.76078202199582</v>
      </c>
      <c r="G78" s="84">
        <f>SUM(G70:G77)</f>
        <v>10.823768439321084</v>
      </c>
    </row>
    <row r="80" spans="3:5" ht="15.75">
      <c r="C80" s="1" t="s">
        <v>136</v>
      </c>
      <c r="D80" s="85">
        <f>+F78+G78</f>
        <v>50.58455046131691</v>
      </c>
      <c r="E80" s="1" t="s">
        <v>135</v>
      </c>
    </row>
    <row r="82" ht="12.75">
      <c r="B82" s="1" t="s">
        <v>142</v>
      </c>
    </row>
    <row r="84" spans="2:9" ht="15.75">
      <c r="B84" s="52" t="s">
        <v>122</v>
      </c>
      <c r="C84" s="52" t="s">
        <v>127</v>
      </c>
      <c r="D84" s="52" t="s">
        <v>128</v>
      </c>
      <c r="E84" s="52" t="s">
        <v>130</v>
      </c>
      <c r="F84" s="52" t="s">
        <v>131</v>
      </c>
      <c r="G84" s="52" t="s">
        <v>137</v>
      </c>
      <c r="H84" s="52" t="s">
        <v>138</v>
      </c>
      <c r="I84" s="14" t="s">
        <v>139</v>
      </c>
    </row>
    <row r="85" spans="2:9" ht="12.75">
      <c r="B85" s="52"/>
      <c r="C85" s="17" t="s">
        <v>10</v>
      </c>
      <c r="D85" s="17" t="s">
        <v>10</v>
      </c>
      <c r="E85" s="79" t="s">
        <v>10</v>
      </c>
      <c r="F85" s="79" t="s">
        <v>10</v>
      </c>
      <c r="G85" s="17" t="s">
        <v>10</v>
      </c>
      <c r="H85" s="17" t="s">
        <v>10</v>
      </c>
      <c r="I85" s="18" t="s">
        <v>10</v>
      </c>
    </row>
    <row r="86" spans="2:10" ht="12.75">
      <c r="B86" s="79">
        <v>1</v>
      </c>
      <c r="C86" s="79">
        <f>-F62/B77</f>
        <v>-0.6249999999999999</v>
      </c>
      <c r="D86" s="86">
        <f>-F63/B77</f>
        <v>1.0825317547305484</v>
      </c>
      <c r="E86" s="86">
        <f aca="true" t="shared" si="4" ref="E86:E93">-F$64*D70/D$80*C$51</f>
        <v>-3.045851528384279</v>
      </c>
      <c r="F86" s="86">
        <f aca="true" t="shared" si="5" ref="F86:F93">+F$64*C70/D$80*C$51</f>
        <v>-1.1844978165938864</v>
      </c>
      <c r="G86" s="86">
        <f>+C86+E86</f>
        <v>-3.670851528384279</v>
      </c>
      <c r="H86" s="86">
        <f>+D86+F86</f>
        <v>-0.10196606186333801</v>
      </c>
      <c r="I86" s="87">
        <f>SQRT(G86^2+H86^2)</f>
        <v>3.6722674223445537</v>
      </c>
      <c r="J86" s="85"/>
    </row>
    <row r="87" spans="2:10" ht="12.75">
      <c r="B87" s="13">
        <v>2</v>
      </c>
      <c r="C87" s="13">
        <f>+C86</f>
        <v>-0.6249999999999999</v>
      </c>
      <c r="D87" s="88">
        <f>+D86</f>
        <v>1.0825317547305484</v>
      </c>
      <c r="E87" s="88">
        <f t="shared" si="4"/>
        <v>-3.045851528384279</v>
      </c>
      <c r="F87" s="88">
        <f t="shared" si="5"/>
        <v>1.1844978165938864</v>
      </c>
      <c r="G87" s="88">
        <f aca="true" t="shared" si="6" ref="G87:G93">+C87+E87</f>
        <v>-3.670851528384279</v>
      </c>
      <c r="H87" s="88">
        <f aca="true" t="shared" si="7" ref="H87:H93">+D87+F87</f>
        <v>2.267029571324435</v>
      </c>
      <c r="I87" s="89">
        <f aca="true" t="shared" si="8" ref="I87:I93">SQRT(G87^2+H87^2)</f>
        <v>4.314461034787619</v>
      </c>
      <c r="J87" s="85"/>
    </row>
    <row r="88" spans="2:10" ht="12.75">
      <c r="B88" s="13">
        <v>3</v>
      </c>
      <c r="C88" s="13">
        <f aca="true" t="shared" si="9" ref="C88:C93">+C87</f>
        <v>-0.6249999999999999</v>
      </c>
      <c r="D88" s="88">
        <f aca="true" t="shared" si="10" ref="D88:D93">+D87</f>
        <v>1.0825317547305484</v>
      </c>
      <c r="E88" s="88">
        <f t="shared" si="4"/>
        <v>-1.0152838427947597</v>
      </c>
      <c r="F88" s="88">
        <f t="shared" si="5"/>
        <v>-1.1844978165938864</v>
      </c>
      <c r="G88" s="88">
        <f t="shared" si="6"/>
        <v>-1.6402838427947595</v>
      </c>
      <c r="H88" s="88">
        <f t="shared" si="7"/>
        <v>-0.10196606186333801</v>
      </c>
      <c r="I88" s="89">
        <f t="shared" si="8"/>
        <v>1.6434500791643967</v>
      </c>
      <c r="J88" s="85"/>
    </row>
    <row r="89" spans="2:10" ht="12.75">
      <c r="B89" s="13">
        <v>4</v>
      </c>
      <c r="C89" s="13">
        <f t="shared" si="9"/>
        <v>-0.6249999999999999</v>
      </c>
      <c r="D89" s="88">
        <f t="shared" si="10"/>
        <v>1.0825317547305484</v>
      </c>
      <c r="E89" s="88">
        <f t="shared" si="4"/>
        <v>-1.0152838427947597</v>
      </c>
      <c r="F89" s="88">
        <f t="shared" si="5"/>
        <v>1.1844978165938864</v>
      </c>
      <c r="G89" s="88">
        <f t="shared" si="6"/>
        <v>-1.6402838427947595</v>
      </c>
      <c r="H89" s="88">
        <f t="shared" si="7"/>
        <v>2.267029571324435</v>
      </c>
      <c r="I89" s="89">
        <f t="shared" si="8"/>
        <v>2.7982055253667473</v>
      </c>
      <c r="J89" s="85"/>
    </row>
    <row r="90" spans="2:10" ht="12.75">
      <c r="B90" s="13">
        <v>5</v>
      </c>
      <c r="C90" s="13">
        <f t="shared" si="9"/>
        <v>-0.6249999999999999</v>
      </c>
      <c r="D90" s="88">
        <f t="shared" si="10"/>
        <v>1.0825317547305484</v>
      </c>
      <c r="E90" s="88">
        <f t="shared" si="4"/>
        <v>1.0152838427947597</v>
      </c>
      <c r="F90" s="88">
        <f t="shared" si="5"/>
        <v>-1.1844978165938864</v>
      </c>
      <c r="G90" s="88">
        <f t="shared" si="6"/>
        <v>0.3902838427947598</v>
      </c>
      <c r="H90" s="88">
        <f t="shared" si="7"/>
        <v>-0.10196606186333801</v>
      </c>
      <c r="I90" s="89">
        <f t="shared" si="8"/>
        <v>0.4033838813321162</v>
      </c>
      <c r="J90" s="85"/>
    </row>
    <row r="91" spans="2:10" ht="12.75">
      <c r="B91" s="13">
        <v>6</v>
      </c>
      <c r="C91" s="13">
        <f t="shared" si="9"/>
        <v>-0.6249999999999999</v>
      </c>
      <c r="D91" s="88">
        <f t="shared" si="10"/>
        <v>1.0825317547305484</v>
      </c>
      <c r="E91" s="88">
        <f t="shared" si="4"/>
        <v>1.0152838427947597</v>
      </c>
      <c r="F91" s="88">
        <f t="shared" si="5"/>
        <v>1.1844978165938864</v>
      </c>
      <c r="G91" s="88">
        <f t="shared" si="6"/>
        <v>0.3902838427947598</v>
      </c>
      <c r="H91" s="88">
        <f t="shared" si="7"/>
        <v>2.267029571324435</v>
      </c>
      <c r="I91" s="89">
        <f t="shared" si="8"/>
        <v>2.3003792198692143</v>
      </c>
      <c r="J91" s="85"/>
    </row>
    <row r="92" spans="2:10" ht="12.75">
      <c r="B92" s="13">
        <v>7</v>
      </c>
      <c r="C92" s="13">
        <f t="shared" si="9"/>
        <v>-0.6249999999999999</v>
      </c>
      <c r="D92" s="88">
        <f t="shared" si="10"/>
        <v>1.0825317547305484</v>
      </c>
      <c r="E92" s="88">
        <f t="shared" si="4"/>
        <v>3.045851528384279</v>
      </c>
      <c r="F92" s="88">
        <f t="shared" si="5"/>
        <v>-1.1844978165938864</v>
      </c>
      <c r="G92" s="88">
        <f t="shared" si="6"/>
        <v>2.420851528384279</v>
      </c>
      <c r="H92" s="88">
        <f t="shared" si="7"/>
        <v>-0.10196606186333801</v>
      </c>
      <c r="I92" s="89">
        <f t="shared" si="8"/>
        <v>2.422997977764822</v>
      </c>
      <c r="J92" s="85"/>
    </row>
    <row r="93" spans="2:10" ht="12.75">
      <c r="B93" s="82">
        <v>8</v>
      </c>
      <c r="C93" s="82">
        <f t="shared" si="9"/>
        <v>-0.6249999999999999</v>
      </c>
      <c r="D93" s="90">
        <f t="shared" si="10"/>
        <v>1.0825317547305484</v>
      </c>
      <c r="E93" s="90">
        <f t="shared" si="4"/>
        <v>3.045851528384279</v>
      </c>
      <c r="F93" s="90">
        <f t="shared" si="5"/>
        <v>1.1844978165938864</v>
      </c>
      <c r="G93" s="90">
        <f t="shared" si="6"/>
        <v>2.420851528384279</v>
      </c>
      <c r="H93" s="90">
        <f t="shared" si="7"/>
        <v>2.267029571324435</v>
      </c>
      <c r="I93" s="91">
        <f t="shared" si="8"/>
        <v>3.3166165288950653</v>
      </c>
      <c r="J93" s="85"/>
    </row>
    <row r="94" spans="3:9" ht="15.75">
      <c r="C94" s="92">
        <f>SUM(C86:C93)</f>
        <v>-4.999999999999999</v>
      </c>
      <c r="D94" s="93">
        <f>SUM(D86:D93)</f>
        <v>8.660254037844387</v>
      </c>
      <c r="H94" s="1" t="s">
        <v>140</v>
      </c>
      <c r="I94" s="89">
        <f>MAX(I86:I93)</f>
        <v>4.314461034787619</v>
      </c>
    </row>
    <row r="96" spans="2:4" ht="15.75">
      <c r="B96" s="94" t="s">
        <v>141</v>
      </c>
      <c r="C96" s="94"/>
      <c r="D96" s="95">
        <f>+C62/I94</f>
        <v>2.3177866063384798</v>
      </c>
    </row>
    <row r="98" ht="15.75">
      <c r="B98" s="1" t="s">
        <v>144</v>
      </c>
    </row>
    <row r="100" spans="2:10" ht="12.75">
      <c r="B100" s="8" t="s">
        <v>7</v>
      </c>
      <c r="C100" s="8"/>
      <c r="D100" s="8"/>
      <c r="E100" s="8"/>
      <c r="G100" s="8" t="s">
        <v>8</v>
      </c>
      <c r="H100" s="8"/>
      <c r="I100" s="8"/>
      <c r="J100" s="8"/>
    </row>
    <row r="101" spans="2:10" ht="15.75">
      <c r="B101" s="59" t="s">
        <v>145</v>
      </c>
      <c r="D101" s="31">
        <f>+C58</f>
        <v>22.531109812464297</v>
      </c>
      <c r="E101" s="1" t="s">
        <v>75</v>
      </c>
      <c r="G101" s="1" t="s">
        <v>146</v>
      </c>
      <c r="I101" s="31">
        <f>+G58</f>
        <v>15.020739874976199</v>
      </c>
      <c r="J101" s="1" t="s">
        <v>75</v>
      </c>
    </row>
    <row r="102" spans="2:10" ht="15.75">
      <c r="B102" s="59" t="s">
        <v>147</v>
      </c>
      <c r="D102" s="31">
        <f>+D101*D96</f>
        <v>52.22230454927124</v>
      </c>
      <c r="E102" s="1" t="s">
        <v>26</v>
      </c>
      <c r="G102" s="155" t="s">
        <v>268</v>
      </c>
      <c r="I102" s="31">
        <f>+I101*D96</f>
        <v>34.81486969951416</v>
      </c>
      <c r="J102" s="1" t="s">
        <v>26</v>
      </c>
    </row>
    <row r="103" spans="2:10" ht="15.75">
      <c r="B103" s="96" t="s">
        <v>148</v>
      </c>
      <c r="C103" s="94"/>
      <c r="D103" s="97">
        <f>+D102/E46</f>
        <v>37.30164610662232</v>
      </c>
      <c r="E103" s="94" t="s">
        <v>26</v>
      </c>
      <c r="G103" s="96" t="s">
        <v>148</v>
      </c>
      <c r="H103" s="94"/>
      <c r="I103" s="97">
        <f>+I102/K46</f>
        <v>34.81486969951416</v>
      </c>
      <c r="J103" s="94" t="s">
        <v>26</v>
      </c>
    </row>
  </sheetData>
  <sheetProtection password="CADF" sheet="1"/>
  <printOptions/>
  <pageMargins left="0.75" right="0.75" top="1" bottom="1" header="0.5" footer="0.5"/>
  <pageSetup orientation="portrait" paperSize="9"/>
  <legacyDrawing r:id="rId3"/>
  <oleObjects>
    <oleObject progId="AutoCAD.Drawing.17" shapeId="3322152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tr">
        <f>+'Example 4.1'!A1</f>
        <v>A Beginner's Guide to the Steel Construction Manual, 14th ed</v>
      </c>
      <c r="H1" s="3" t="s">
        <v>300</v>
      </c>
    </row>
    <row r="2" spans="1:8" ht="12.75">
      <c r="A2" s="2" t="s">
        <v>271</v>
      </c>
      <c r="H2" s="1" t="s">
        <v>256</v>
      </c>
    </row>
    <row r="4" spans="1:2" ht="12.75">
      <c r="A4" s="2" t="s">
        <v>59</v>
      </c>
      <c r="B4" s="1" t="s">
        <v>299</v>
      </c>
    </row>
    <row r="5" spans="1:2" ht="12.75">
      <c r="A5" s="2"/>
      <c r="B5" s="1" t="s">
        <v>118</v>
      </c>
    </row>
    <row r="6" spans="1:2" ht="12.75">
      <c r="A6" s="2"/>
      <c r="B6" s="3" t="s">
        <v>104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119</v>
      </c>
      <c r="C9" s="38">
        <v>0.5</v>
      </c>
      <c r="I9" s="40"/>
    </row>
    <row r="10" spans="2:9" ht="12.75">
      <c r="B10" s="4" t="s">
        <v>120</v>
      </c>
      <c r="C10" s="5">
        <f>1-C9</f>
        <v>0.5</v>
      </c>
      <c r="E10" s="75"/>
      <c r="I10" s="40"/>
    </row>
    <row r="11" spans="2:9" ht="12.75">
      <c r="B11" s="4"/>
      <c r="C11" s="5"/>
      <c r="E11" s="75"/>
      <c r="I11" s="40"/>
    </row>
    <row r="12" spans="2:9" ht="12.75">
      <c r="B12" s="3" t="s">
        <v>281</v>
      </c>
      <c r="C12" s="5"/>
      <c r="E12" s="75"/>
      <c r="I12" s="40"/>
    </row>
    <row r="13" spans="2:9" ht="12.75">
      <c r="B13" s="3" t="s">
        <v>282</v>
      </c>
      <c r="C13" s="5"/>
      <c r="E13" s="75"/>
      <c r="I13" s="40"/>
    </row>
    <row r="14" spans="2:9" ht="12.75">
      <c r="B14" s="3" t="s">
        <v>293</v>
      </c>
      <c r="C14" s="5"/>
      <c r="E14" s="75"/>
      <c r="I14" s="40"/>
    </row>
    <row r="15" spans="2:9" ht="12.75">
      <c r="B15" s="3" t="s">
        <v>284</v>
      </c>
      <c r="C15" s="5"/>
      <c r="E15" s="75"/>
      <c r="I15" s="40"/>
    </row>
    <row r="16" spans="2:9" ht="12.75">
      <c r="B16" s="3" t="s">
        <v>285</v>
      </c>
      <c r="C16" s="5"/>
      <c r="E16" s="75"/>
      <c r="I16" s="40"/>
    </row>
    <row r="17" spans="2:9" ht="12.75">
      <c r="B17" s="4"/>
      <c r="C17" s="5"/>
      <c r="E17" s="75"/>
      <c r="I17" s="40"/>
    </row>
    <row r="18" spans="2:9" ht="12.75">
      <c r="B18" s="3" t="s">
        <v>286</v>
      </c>
      <c r="C18" s="5"/>
      <c r="E18" s="75"/>
      <c r="I18" s="40"/>
    </row>
    <row r="19" spans="2:9" ht="12.75">
      <c r="B19" s="4"/>
      <c r="C19" s="5"/>
      <c r="E19" s="75"/>
      <c r="I19" s="40"/>
    </row>
    <row r="20" spans="2:9" ht="12.75">
      <c r="B20" s="4"/>
      <c r="C20" s="5"/>
      <c r="E20" s="75"/>
      <c r="I20" s="40"/>
    </row>
    <row r="21" spans="2:9" ht="12.75">
      <c r="B21" s="4"/>
      <c r="C21" s="5"/>
      <c r="E21" s="75"/>
      <c r="I21" s="40"/>
    </row>
    <row r="22" spans="2:9" ht="12.75">
      <c r="B22" s="4"/>
      <c r="C22" s="5"/>
      <c r="E22" s="75"/>
      <c r="I22" s="40"/>
    </row>
    <row r="23" spans="2:9" ht="12.75">
      <c r="B23" s="4"/>
      <c r="C23" s="5"/>
      <c r="E23" s="75"/>
      <c r="I23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105</v>
      </c>
    </row>
    <row r="29" spans="1:2" ht="12.75">
      <c r="A29" s="6" t="s">
        <v>20</v>
      </c>
      <c r="B29" s="1" t="s">
        <v>106</v>
      </c>
    </row>
    <row r="31" ht="12.75">
      <c r="A31" s="2" t="s">
        <v>152</v>
      </c>
    </row>
    <row r="32" ht="12.75">
      <c r="A32" s="3"/>
    </row>
    <row r="33" spans="1:10" ht="12.75">
      <c r="A33" s="7" t="s">
        <v>4</v>
      </c>
      <c r="B33" s="8"/>
      <c r="C33" s="1" t="s">
        <v>5</v>
      </c>
      <c r="I33" s="13" t="s">
        <v>7</v>
      </c>
      <c r="J33" s="13" t="s">
        <v>8</v>
      </c>
    </row>
    <row r="34" spans="9:10" ht="12.75">
      <c r="I34" s="17" t="s">
        <v>10</v>
      </c>
      <c r="J34" s="17" t="s">
        <v>10</v>
      </c>
    </row>
    <row r="35" spans="2:10" ht="15.75">
      <c r="B35" s="1" t="s">
        <v>153</v>
      </c>
      <c r="G35" s="1" t="s">
        <v>176</v>
      </c>
      <c r="H35" s="64" t="s">
        <v>150</v>
      </c>
      <c r="I35" s="76">
        <f>+'Example 4.4a'!C39</f>
        <v>37.30164610662232</v>
      </c>
      <c r="J35" s="76">
        <f>+'Example 4.4a'!D39</f>
        <v>34.81486969951416</v>
      </c>
    </row>
    <row r="36" spans="7:10" ht="15.75">
      <c r="G36" s="1" t="s">
        <v>171</v>
      </c>
      <c r="H36" s="64" t="s">
        <v>150</v>
      </c>
      <c r="I36" s="76">
        <f>+C39</f>
        <v>41.09957087872997</v>
      </c>
      <c r="J36" s="76">
        <f>+D39</f>
        <v>38.35959948681464</v>
      </c>
    </row>
    <row r="37" spans="3:4" ht="12.75">
      <c r="C37" s="13" t="s">
        <v>7</v>
      </c>
      <c r="D37" s="13" t="s">
        <v>8</v>
      </c>
    </row>
    <row r="38" spans="3:4" ht="12.75">
      <c r="C38" s="17" t="s">
        <v>10</v>
      </c>
      <c r="D38" s="17" t="s">
        <v>10</v>
      </c>
    </row>
    <row r="39" spans="2:4" ht="15.75">
      <c r="B39" s="64" t="s">
        <v>150</v>
      </c>
      <c r="C39" s="76">
        <f>+D112</f>
        <v>41.09957087872997</v>
      </c>
      <c r="D39" s="76">
        <f>+I112</f>
        <v>38.35959948681464</v>
      </c>
    </row>
    <row r="41" spans="1:2" ht="12.75">
      <c r="A41" s="26" t="s">
        <v>12</v>
      </c>
      <c r="B41" s="8"/>
    </row>
    <row r="42" spans="1:9" ht="12.75">
      <c r="A42" s="11" t="s">
        <v>47</v>
      </c>
      <c r="B42" s="11"/>
      <c r="C42" s="11"/>
      <c r="G42" s="11" t="s">
        <v>121</v>
      </c>
      <c r="H42" s="11"/>
      <c r="I42" s="11"/>
    </row>
    <row r="43" spans="2:9" ht="12.75">
      <c r="B43" s="11"/>
      <c r="C43" s="11"/>
      <c r="H43" s="11"/>
      <c r="I43" s="11"/>
    </row>
    <row r="44" spans="1:12" ht="15.75">
      <c r="A44" s="11" t="s">
        <v>42</v>
      </c>
      <c r="B44" s="11"/>
      <c r="C44" s="11"/>
      <c r="D44" s="1" t="s">
        <v>43</v>
      </c>
      <c r="E44" s="57">
        <f>1.2*C9+1.6*C10</f>
        <v>1.4</v>
      </c>
      <c r="F44" s="3" t="s">
        <v>276</v>
      </c>
      <c r="G44" s="11" t="s">
        <v>63</v>
      </c>
      <c r="H44" s="11"/>
      <c r="I44" s="11"/>
      <c r="J44" s="1" t="s">
        <v>80</v>
      </c>
      <c r="K44" s="57">
        <f>1*C9+1*C10</f>
        <v>1</v>
      </c>
      <c r="L44" s="3" t="s">
        <v>276</v>
      </c>
    </row>
    <row r="46" spans="1:5" ht="12.75">
      <c r="A46" s="29" t="s">
        <v>20</v>
      </c>
      <c r="B46" s="7" t="s">
        <v>48</v>
      </c>
      <c r="C46" s="8"/>
      <c r="D46" s="8"/>
      <c r="E46" s="8"/>
    </row>
    <row r="48" spans="2:4" ht="15.75">
      <c r="B48" s="1" t="s">
        <v>51</v>
      </c>
      <c r="C48" s="37">
        <v>68</v>
      </c>
      <c r="D48" s="1" t="s">
        <v>50</v>
      </c>
    </row>
    <row r="49" spans="2:5" ht="15.75">
      <c r="B49" s="8" t="s">
        <v>49</v>
      </c>
      <c r="C49" s="36">
        <f>PI()*(C8/2)^2</f>
        <v>0.44178646691106466</v>
      </c>
      <c r="D49" s="8" t="s">
        <v>52</v>
      </c>
      <c r="E49" s="8"/>
    </row>
    <row r="50" spans="2:4" ht="15.75">
      <c r="B50" s="1" t="s">
        <v>32</v>
      </c>
      <c r="C50" s="31">
        <f>+C48*C49</f>
        <v>30.041479749952398</v>
      </c>
      <c r="D50" s="1" t="s">
        <v>53</v>
      </c>
    </row>
    <row r="51" spans="2:5" ht="12.75">
      <c r="B51" s="8" t="s">
        <v>25</v>
      </c>
      <c r="C51" s="39">
        <v>1</v>
      </c>
      <c r="D51" s="8" t="s">
        <v>107</v>
      </c>
      <c r="E51" s="8"/>
    </row>
    <row r="52" spans="2:4" ht="15.75">
      <c r="B52" s="1" t="s">
        <v>32</v>
      </c>
      <c r="C52" s="31">
        <f>+C50*C51</f>
        <v>30.041479749952398</v>
      </c>
      <c r="D52" s="1" t="s">
        <v>27</v>
      </c>
    </row>
    <row r="54" spans="2:8" ht="12.75">
      <c r="B54" s="8" t="s">
        <v>7</v>
      </c>
      <c r="C54" s="8"/>
      <c r="D54" s="8"/>
      <c r="F54" s="8" t="s">
        <v>8</v>
      </c>
      <c r="G54" s="8"/>
      <c r="H54" s="8"/>
    </row>
    <row r="55" spans="2:7" ht="12.75">
      <c r="B55" s="30" t="s">
        <v>40</v>
      </c>
      <c r="C55" s="1">
        <v>0.75</v>
      </c>
      <c r="F55" s="30" t="s">
        <v>41</v>
      </c>
      <c r="G55" s="1">
        <v>2</v>
      </c>
    </row>
    <row r="56" spans="2:8" ht="15.75">
      <c r="B56" s="30" t="s">
        <v>57</v>
      </c>
      <c r="C56" s="77">
        <f>+C52*C55</f>
        <v>22.531109812464297</v>
      </c>
      <c r="D56" s="34" t="s">
        <v>26</v>
      </c>
      <c r="E56" s="34"/>
      <c r="F56" s="35" t="s">
        <v>58</v>
      </c>
      <c r="G56" s="77">
        <f>+C52/G55</f>
        <v>15.020739874976199</v>
      </c>
      <c r="H56" s="34" t="s">
        <v>26</v>
      </c>
    </row>
    <row r="59" ht="12.75">
      <c r="A59" s="1" t="s">
        <v>108</v>
      </c>
    </row>
    <row r="61" spans="2:7" ht="15.75">
      <c r="B61" s="30" t="s">
        <v>110</v>
      </c>
      <c r="C61" s="37">
        <v>30</v>
      </c>
      <c r="D61" s="1" t="s">
        <v>111</v>
      </c>
      <c r="E61" s="30" t="s">
        <v>154</v>
      </c>
      <c r="F61" s="111">
        <v>0.34</v>
      </c>
      <c r="G61" s="1" t="s">
        <v>0</v>
      </c>
    </row>
    <row r="62" spans="5:7" ht="15.75">
      <c r="E62" s="1" t="s">
        <v>155</v>
      </c>
      <c r="F62" s="110">
        <v>74</v>
      </c>
      <c r="G62" s="1" t="s">
        <v>117</v>
      </c>
    </row>
    <row r="64" ht="12.75">
      <c r="B64" s="1" t="s">
        <v>158</v>
      </c>
    </row>
    <row r="65" spans="4:12" ht="12.75">
      <c r="D65" s="52" t="s">
        <v>169</v>
      </c>
      <c r="E65" s="52" t="s">
        <v>170</v>
      </c>
      <c r="K65" s="85">
        <f aca="true" t="shared" si="0" ref="K65:L67">+D67</f>
        <v>-1.4093755063029305</v>
      </c>
      <c r="L65" s="85">
        <f t="shared" si="0"/>
        <v>-1.135559774395926</v>
      </c>
    </row>
    <row r="66" spans="4:12" ht="12.75">
      <c r="D66" s="17" t="s">
        <v>123</v>
      </c>
      <c r="E66" s="17" t="s">
        <v>123</v>
      </c>
      <c r="G66" s="149" t="s">
        <v>175</v>
      </c>
      <c r="H66" s="120"/>
      <c r="I66" s="120"/>
      <c r="J66" s="42"/>
      <c r="K66" s="85">
        <f t="shared" si="0"/>
        <v>0</v>
      </c>
      <c r="L66" s="85">
        <f t="shared" si="0"/>
        <v>0</v>
      </c>
    </row>
    <row r="67" spans="3:12" ht="12.75">
      <c r="C67" s="52" t="s">
        <v>171</v>
      </c>
      <c r="D67" s="112">
        <v>-1.4093755063029305</v>
      </c>
      <c r="E67" s="112">
        <v>-1.135559774395926</v>
      </c>
      <c r="G67" s="150" t="s">
        <v>261</v>
      </c>
      <c r="H67" s="58">
        <f>ATAN(C61*PI()/180)</f>
        <v>0.48234790710102493</v>
      </c>
      <c r="I67" s="11"/>
      <c r="J67" s="152"/>
      <c r="K67" s="85">
        <f t="shared" si="0"/>
        <v>7.75</v>
      </c>
      <c r="L67" s="85">
        <f t="shared" si="0"/>
        <v>6</v>
      </c>
    </row>
    <row r="68" spans="3:12" ht="15.75">
      <c r="C68" s="52" t="s">
        <v>172</v>
      </c>
      <c r="D68" s="84">
        <v>0</v>
      </c>
      <c r="E68" s="84">
        <v>0</v>
      </c>
      <c r="G68" s="150" t="s">
        <v>262</v>
      </c>
      <c r="H68" s="151">
        <f>((E69-E67)+(D69-D67)/H67)/(H67+1/H67)</f>
        <v>10.22277262606046</v>
      </c>
      <c r="I68" s="27" t="s">
        <v>0</v>
      </c>
      <c r="J68" s="152"/>
      <c r="K68" s="85">
        <f aca="true" t="shared" si="1" ref="K68:L70">+C77</f>
        <v>-1.75</v>
      </c>
      <c r="L68" s="85">
        <f t="shared" si="1"/>
        <v>4.5</v>
      </c>
    </row>
    <row r="69" spans="3:12" ht="15.75">
      <c r="C69" s="52" t="s">
        <v>173</v>
      </c>
      <c r="D69" s="84">
        <f>6+3.5/2</f>
        <v>7.75</v>
      </c>
      <c r="E69" s="84">
        <f>9/2+1.5</f>
        <v>6</v>
      </c>
      <c r="G69" s="150" t="s">
        <v>263</v>
      </c>
      <c r="H69" s="151">
        <f>+H67*H68</f>
        <v>4.930932980949911</v>
      </c>
      <c r="I69" s="27" t="s">
        <v>0</v>
      </c>
      <c r="J69" s="152"/>
      <c r="K69" s="85">
        <f t="shared" si="1"/>
        <v>1.75</v>
      </c>
      <c r="L69" s="85">
        <f t="shared" si="1"/>
        <v>4.5</v>
      </c>
    </row>
    <row r="70" spans="7:12" ht="12.75">
      <c r="G70" s="150" t="s">
        <v>264</v>
      </c>
      <c r="H70" s="11"/>
      <c r="I70" s="11"/>
      <c r="J70" s="152"/>
      <c r="K70" s="85">
        <f t="shared" si="1"/>
        <v>-1.75</v>
      </c>
      <c r="L70" s="85">
        <f t="shared" si="1"/>
        <v>1.5</v>
      </c>
    </row>
    <row r="71" spans="3:12" ht="15.75">
      <c r="C71" s="1" t="s">
        <v>174</v>
      </c>
      <c r="D71" s="85">
        <f>SQRT(H68^2+H69^2)</f>
        <v>11.349853753540202</v>
      </c>
      <c r="E71" s="1" t="s">
        <v>0</v>
      </c>
      <c r="G71" s="150" t="s">
        <v>265</v>
      </c>
      <c r="H71" s="11"/>
      <c r="I71" s="11"/>
      <c r="J71" s="152"/>
      <c r="K71" s="85"/>
      <c r="L71" s="85"/>
    </row>
    <row r="72" spans="4:12" ht="12.75">
      <c r="D72" s="85"/>
      <c r="G72" s="150" t="s">
        <v>266</v>
      </c>
      <c r="H72" s="11"/>
      <c r="I72" s="11"/>
      <c r="J72" s="152"/>
      <c r="K72" s="85"/>
      <c r="L72" s="85"/>
    </row>
    <row r="73" spans="2:12" ht="12.75">
      <c r="B73" s="1" t="s">
        <v>164</v>
      </c>
      <c r="G73" s="153" t="s">
        <v>267</v>
      </c>
      <c r="H73" s="8"/>
      <c r="I73" s="8"/>
      <c r="J73" s="154"/>
      <c r="K73" s="85">
        <f aca="true" t="shared" si="2" ref="K73:L77">+C80</f>
        <v>1.75</v>
      </c>
      <c r="L73" s="85">
        <f t="shared" si="2"/>
        <v>1.5</v>
      </c>
    </row>
    <row r="74" spans="11:12" ht="12.75">
      <c r="K74" s="85">
        <f t="shared" si="2"/>
        <v>-1.75</v>
      </c>
      <c r="L74" s="85">
        <f t="shared" si="2"/>
        <v>-1.5</v>
      </c>
    </row>
    <row r="75" spans="2:12" ht="15.75">
      <c r="B75" s="52" t="s">
        <v>122</v>
      </c>
      <c r="C75" s="52" t="s">
        <v>162</v>
      </c>
      <c r="D75" s="52" t="s">
        <v>163</v>
      </c>
      <c r="E75" s="52" t="s">
        <v>159</v>
      </c>
      <c r="F75" s="52" t="s">
        <v>160</v>
      </c>
      <c r="G75" s="52" t="s">
        <v>161</v>
      </c>
      <c r="H75" s="101" t="s">
        <v>157</v>
      </c>
      <c r="I75" s="13"/>
      <c r="J75" s="13"/>
      <c r="K75" s="85">
        <f t="shared" si="2"/>
        <v>1.75</v>
      </c>
      <c r="L75" s="85">
        <f t="shared" si="2"/>
        <v>-1.5</v>
      </c>
    </row>
    <row r="76" spans="2:12" ht="12.75">
      <c r="B76" s="52"/>
      <c r="C76" s="17" t="s">
        <v>123</v>
      </c>
      <c r="D76" s="17" t="s">
        <v>123</v>
      </c>
      <c r="E76" s="17" t="s">
        <v>123</v>
      </c>
      <c r="F76" s="17" t="s">
        <v>123</v>
      </c>
      <c r="G76" s="17" t="s">
        <v>123</v>
      </c>
      <c r="H76" s="17" t="s">
        <v>123</v>
      </c>
      <c r="I76" s="13"/>
      <c r="J76" s="11"/>
      <c r="K76" s="85">
        <f t="shared" si="2"/>
        <v>-1.75</v>
      </c>
      <c r="L76" s="85">
        <f t="shared" si="2"/>
        <v>-4.5</v>
      </c>
    </row>
    <row r="77" spans="2:12" ht="12.75">
      <c r="B77" s="79">
        <v>1</v>
      </c>
      <c r="C77" s="98">
        <f>-3.5/2</f>
        <v>-1.75</v>
      </c>
      <c r="D77" s="98">
        <f>9/2</f>
        <v>4.5</v>
      </c>
      <c r="E77" s="93">
        <f aca="true" t="shared" si="3" ref="E77:E84">C77-D$67</f>
        <v>-0.3406244936970695</v>
      </c>
      <c r="F77" s="93">
        <f aca="true" t="shared" si="4" ref="F77:F84">+D77-E$67</f>
        <v>5.635559774395926</v>
      </c>
      <c r="G77" s="80">
        <f>SQRT(E77^2+F77^2)</f>
        <v>5.6458444024340455</v>
      </c>
      <c r="H77" s="81">
        <f aca="true" t="shared" si="5" ref="H77:H84">IF(G77=G85,F61,F$61/G$78*G77)</f>
        <v>0.29711557717652576</v>
      </c>
      <c r="I77" s="11"/>
      <c r="J77" s="11"/>
      <c r="K77" s="85">
        <f t="shared" si="2"/>
        <v>1.75</v>
      </c>
      <c r="L77" s="85">
        <f t="shared" si="2"/>
        <v>-4.5</v>
      </c>
    </row>
    <row r="78" spans="2:12" ht="12.75">
      <c r="B78" s="13">
        <v>2</v>
      </c>
      <c r="C78" s="99">
        <f>-C77</f>
        <v>1.75</v>
      </c>
      <c r="D78" s="99">
        <f>+D77</f>
        <v>4.5</v>
      </c>
      <c r="E78" s="93">
        <f t="shared" si="3"/>
        <v>3.1593755063029305</v>
      </c>
      <c r="F78" s="93">
        <f t="shared" si="4"/>
        <v>5.635559774395926</v>
      </c>
      <c r="G78" s="102">
        <f>SQRT(E78^2+F78^2)</f>
        <v>6.460742028638533</v>
      </c>
      <c r="H78" s="81">
        <f t="shared" si="5"/>
        <v>0.34</v>
      </c>
      <c r="K78" s="85"/>
      <c r="L78" s="85"/>
    </row>
    <row r="79" spans="2:12" ht="12.75">
      <c r="B79" s="13">
        <v>3</v>
      </c>
      <c r="C79" s="99">
        <f aca="true" t="shared" si="6" ref="C79:C84">+C77</f>
        <v>-1.75</v>
      </c>
      <c r="D79" s="99">
        <v>1.5</v>
      </c>
      <c r="E79" s="93">
        <f t="shared" si="3"/>
        <v>-0.3406244936970695</v>
      </c>
      <c r="F79" s="93">
        <f t="shared" si="4"/>
        <v>2.635559774395926</v>
      </c>
      <c r="G79" s="81">
        <f aca="true" t="shared" si="7" ref="G79:G84">SQRT(E79^2+F79^2)</f>
        <v>2.657480078969603</v>
      </c>
      <c r="H79" s="81">
        <f t="shared" si="5"/>
        <v>0.13985130854080363</v>
      </c>
      <c r="K79" s="85"/>
      <c r="L79" s="85"/>
    </row>
    <row r="80" spans="2:12" ht="12.75">
      <c r="B80" s="13">
        <v>4</v>
      </c>
      <c r="C80" s="99">
        <f t="shared" si="6"/>
        <v>1.75</v>
      </c>
      <c r="D80" s="99">
        <v>1.5</v>
      </c>
      <c r="E80" s="93">
        <f t="shared" si="3"/>
        <v>3.1593755063029305</v>
      </c>
      <c r="F80" s="93">
        <f t="shared" si="4"/>
        <v>2.635559774395926</v>
      </c>
      <c r="G80" s="81">
        <f t="shared" si="7"/>
        <v>4.114344287276018</v>
      </c>
      <c r="H80" s="81">
        <f t="shared" si="5"/>
        <v>0.2165195656277628</v>
      </c>
      <c r="K80" s="85"/>
      <c r="L80" s="85"/>
    </row>
    <row r="81" spans="2:12" ht="12.75">
      <c r="B81" s="13">
        <v>5</v>
      </c>
      <c r="C81" s="99">
        <f t="shared" si="6"/>
        <v>-1.75</v>
      </c>
      <c r="D81" s="99">
        <f>-D80</f>
        <v>-1.5</v>
      </c>
      <c r="E81" s="93">
        <f t="shared" si="3"/>
        <v>-0.3406244936970695</v>
      </c>
      <c r="F81" s="93">
        <f t="shared" si="4"/>
        <v>-0.36444022560407396</v>
      </c>
      <c r="G81" s="81">
        <f t="shared" si="7"/>
        <v>0.4988403790239251</v>
      </c>
      <c r="H81" s="81">
        <f t="shared" si="5"/>
        <v>0.026251741381457916</v>
      </c>
      <c r="K81" s="85"/>
      <c r="L81" s="85"/>
    </row>
    <row r="82" spans="2:12" ht="12.75">
      <c r="B82" s="13">
        <v>6</v>
      </c>
      <c r="C82" s="99">
        <f t="shared" si="6"/>
        <v>1.75</v>
      </c>
      <c r="D82" s="99">
        <f>-D79</f>
        <v>-1.5</v>
      </c>
      <c r="E82" s="93">
        <f t="shared" si="3"/>
        <v>3.1593755063029305</v>
      </c>
      <c r="F82" s="93">
        <f t="shared" si="4"/>
        <v>-0.36444022560407396</v>
      </c>
      <c r="G82" s="81">
        <f t="shared" si="7"/>
        <v>3.180325497156737</v>
      </c>
      <c r="H82" s="81">
        <f t="shared" si="5"/>
        <v>0.16736632792954192</v>
      </c>
      <c r="K82" s="85"/>
      <c r="L82" s="85"/>
    </row>
    <row r="83" spans="2:13" ht="12.75">
      <c r="B83" s="13">
        <v>7</v>
      </c>
      <c r="C83" s="99">
        <f t="shared" si="6"/>
        <v>-1.75</v>
      </c>
      <c r="D83" s="99">
        <f>-D78</f>
        <v>-4.5</v>
      </c>
      <c r="E83" s="93">
        <f t="shared" si="3"/>
        <v>-0.3406244936970695</v>
      </c>
      <c r="F83" s="93">
        <f t="shared" si="4"/>
        <v>-3.364440225604074</v>
      </c>
      <c r="G83" s="81">
        <f t="shared" si="7"/>
        <v>3.3816391110479516</v>
      </c>
      <c r="H83" s="81">
        <f t="shared" si="5"/>
        <v>0.1779605643840559</v>
      </c>
      <c r="K83" s="85"/>
      <c r="L83" s="85"/>
      <c r="M83" s="85"/>
    </row>
    <row r="84" spans="2:8" ht="12.75">
      <c r="B84" s="82">
        <v>8</v>
      </c>
      <c r="C84" s="100">
        <f t="shared" si="6"/>
        <v>1.75</v>
      </c>
      <c r="D84" s="100">
        <f>-D77</f>
        <v>-4.5</v>
      </c>
      <c r="E84" s="90">
        <f t="shared" si="3"/>
        <v>3.1593755063029305</v>
      </c>
      <c r="F84" s="90">
        <f t="shared" si="4"/>
        <v>-3.364440225604074</v>
      </c>
      <c r="G84" s="83">
        <f t="shared" si="7"/>
        <v>4.615312732793921</v>
      </c>
      <c r="H84" s="83">
        <f t="shared" si="5"/>
        <v>0.2428832976450866</v>
      </c>
    </row>
    <row r="85" spans="6:9" ht="12.75">
      <c r="F85" s="1" t="s">
        <v>156</v>
      </c>
      <c r="G85" s="84">
        <f>MAX(G77:G84)</f>
        <v>6.460742028638533</v>
      </c>
      <c r="H85" s="84">
        <f>MAX(H77:H84)</f>
        <v>0.34</v>
      </c>
      <c r="I85" s="84"/>
    </row>
    <row r="87" ht="12.75">
      <c r="B87" s="1" t="s">
        <v>142</v>
      </c>
    </row>
    <row r="89" spans="2:6" ht="15.75">
      <c r="B89" s="52" t="s">
        <v>122</v>
      </c>
      <c r="C89" s="52" t="s">
        <v>139</v>
      </c>
      <c r="D89" s="52" t="s">
        <v>137</v>
      </c>
      <c r="E89" s="52" t="s">
        <v>138</v>
      </c>
      <c r="F89" s="52" t="s">
        <v>165</v>
      </c>
    </row>
    <row r="90" spans="2:10" ht="12.75">
      <c r="B90" s="52"/>
      <c r="C90" s="17" t="s">
        <v>10</v>
      </c>
      <c r="D90" s="79" t="s">
        <v>10</v>
      </c>
      <c r="E90" s="79" t="s">
        <v>10</v>
      </c>
      <c r="F90" s="79" t="s">
        <v>129</v>
      </c>
      <c r="G90" s="11"/>
      <c r="H90" s="11"/>
      <c r="I90" s="13"/>
      <c r="J90" s="11"/>
    </row>
    <row r="91" spans="2:10" ht="12.75">
      <c r="B91" s="79">
        <v>1</v>
      </c>
      <c r="C91" s="23">
        <f aca="true" t="shared" si="8" ref="C91:C98">+F$62*(1-EXP(-10*H77))^(0.55)</f>
        <v>71.88970503710614</v>
      </c>
      <c r="D91" s="103">
        <f aca="true" t="shared" si="9" ref="D91:D98">-C91*F77/G77</f>
        <v>-71.75874874016002</v>
      </c>
      <c r="E91" s="103">
        <f aca="true" t="shared" si="10" ref="E91:E98">+C91*E77/G77</f>
        <v>-4.337242161639967</v>
      </c>
      <c r="F91" s="104">
        <f aca="true" t="shared" si="11" ref="F91:F98">+C91*G77</f>
        <v>405.8780887763803</v>
      </c>
      <c r="G91" s="13"/>
      <c r="H91" s="13"/>
      <c r="I91" s="13"/>
      <c r="J91" s="11"/>
    </row>
    <row r="92" spans="2:10" ht="12.75">
      <c r="B92" s="13">
        <v>2</v>
      </c>
      <c r="C92" s="23">
        <f t="shared" si="8"/>
        <v>72.63134055382815</v>
      </c>
      <c r="D92" s="23">
        <f t="shared" si="9"/>
        <v>-63.35468269298174</v>
      </c>
      <c r="E92" s="23">
        <f t="shared" si="10"/>
        <v>35.51754230683427</v>
      </c>
      <c r="F92" s="105">
        <f t="shared" si="11"/>
        <v>469.25235451247585</v>
      </c>
      <c r="G92" s="88"/>
      <c r="H92" s="88"/>
      <c r="I92" s="88"/>
      <c r="J92" s="11"/>
    </row>
    <row r="93" spans="2:10" ht="12.75">
      <c r="B93" s="13">
        <v>3</v>
      </c>
      <c r="C93" s="23">
        <f t="shared" si="8"/>
        <v>63.31117972031196</v>
      </c>
      <c r="D93" s="23">
        <f t="shared" si="9"/>
        <v>-62.788955545097764</v>
      </c>
      <c r="E93" s="23">
        <f t="shared" si="10"/>
        <v>-8.114957740701886</v>
      </c>
      <c r="F93" s="105">
        <f t="shared" si="11"/>
        <v>168.24819888279336</v>
      </c>
      <c r="G93" s="88"/>
      <c r="H93" s="88"/>
      <c r="I93" s="88"/>
      <c r="J93" s="11"/>
    </row>
    <row r="94" spans="2:10" ht="12.75">
      <c r="B94" s="13">
        <v>4</v>
      </c>
      <c r="C94" s="23">
        <f t="shared" si="8"/>
        <v>69.20286253623968</v>
      </c>
      <c r="D94" s="23">
        <f t="shared" si="9"/>
        <v>-44.32985380868985</v>
      </c>
      <c r="E94" s="23">
        <f t="shared" si="10"/>
        <v>53.14038242720756</v>
      </c>
      <c r="F94" s="105">
        <f t="shared" si="11"/>
        <v>284.7244021391253</v>
      </c>
      <c r="G94" s="88"/>
      <c r="H94" s="88"/>
      <c r="I94" s="88"/>
      <c r="J94" s="11"/>
    </row>
    <row r="95" spans="2:10" ht="12.75">
      <c r="B95" s="13">
        <v>5</v>
      </c>
      <c r="C95" s="23">
        <f t="shared" si="8"/>
        <v>33.044673421759626</v>
      </c>
      <c r="D95" s="23">
        <f t="shared" si="9"/>
        <v>24.141606700730687</v>
      </c>
      <c r="E95" s="23">
        <f t="shared" si="10"/>
        <v>-22.56398164017119</v>
      </c>
      <c r="F95" s="105">
        <f t="shared" si="11"/>
        <v>16.484017414432394</v>
      </c>
      <c r="G95" s="88"/>
      <c r="H95" s="88"/>
      <c r="I95" s="88"/>
      <c r="J95" s="11"/>
    </row>
    <row r="96" spans="2:10" ht="12.75">
      <c r="B96" s="13">
        <v>6</v>
      </c>
      <c r="C96" s="23">
        <f t="shared" si="8"/>
        <v>66.01115140335737</v>
      </c>
      <c r="D96" s="23">
        <f t="shared" si="9"/>
        <v>7.56435746320045</v>
      </c>
      <c r="E96" s="23">
        <f t="shared" si="10"/>
        <v>65.57631131564122</v>
      </c>
      <c r="F96" s="105">
        <f t="shared" si="11"/>
        <v>209.9369479047712</v>
      </c>
      <c r="G96" s="88"/>
      <c r="H96" s="88"/>
      <c r="I96" s="88"/>
      <c r="J96" s="11"/>
    </row>
    <row r="97" spans="2:10" ht="12.75">
      <c r="B97" s="13">
        <v>7</v>
      </c>
      <c r="C97" s="23">
        <f t="shared" si="8"/>
        <v>66.84934539569737</v>
      </c>
      <c r="D97" s="23">
        <f t="shared" si="9"/>
        <v>66.5093522161465</v>
      </c>
      <c r="E97" s="23">
        <f t="shared" si="10"/>
        <v>-6.733576139156221</v>
      </c>
      <c r="F97" s="105">
        <f t="shared" si="11"/>
        <v>226.06036093804352</v>
      </c>
      <c r="G97" s="88"/>
      <c r="H97" s="88"/>
      <c r="I97" s="88"/>
      <c r="J97" s="11"/>
    </row>
    <row r="98" spans="2:10" ht="12.75">
      <c r="B98" s="82">
        <v>8</v>
      </c>
      <c r="C98" s="106">
        <f t="shared" si="8"/>
        <v>70.33837108122546</v>
      </c>
      <c r="D98" s="106">
        <f t="shared" si="9"/>
        <v>51.27480168085675</v>
      </c>
      <c r="E98" s="106">
        <f t="shared" si="10"/>
        <v>48.14957070368317</v>
      </c>
      <c r="F98" s="107">
        <f t="shared" si="11"/>
        <v>324.6335796551636</v>
      </c>
      <c r="G98" s="88"/>
      <c r="H98" s="88"/>
      <c r="I98" s="88"/>
      <c r="J98" s="11"/>
    </row>
    <row r="99" spans="3:10" ht="12.75">
      <c r="C99" s="1" t="s">
        <v>166</v>
      </c>
      <c r="D99" s="53">
        <f>SUM(D91:D98)</f>
        <v>-92.74212272599499</v>
      </c>
      <c r="E99" s="53">
        <f>SUM(E91:E98)</f>
        <v>160.63404907169695</v>
      </c>
      <c r="F99" s="54">
        <f>SUM(F91:F98)</f>
        <v>2105.217950223185</v>
      </c>
      <c r="G99" s="88"/>
      <c r="H99" s="88"/>
      <c r="I99" s="88"/>
      <c r="J99" s="11"/>
    </row>
    <row r="100" spans="3:10" ht="12.75">
      <c r="C100" s="88" t="s">
        <v>167</v>
      </c>
      <c r="D100" s="84">
        <f>-D99/SIN(C61*PI()/180)</f>
        <v>185.48424545199</v>
      </c>
      <c r="E100" s="84">
        <f>+E99/COS(C61*PI()/180)</f>
        <v>185.48422294512756</v>
      </c>
      <c r="F100" s="84">
        <f>+F99/(D71)</f>
        <v>185.48414772010025</v>
      </c>
      <c r="G100" s="11"/>
      <c r="H100" s="11"/>
      <c r="I100" s="11"/>
      <c r="J100" s="11"/>
    </row>
    <row r="101" spans="3:7" ht="12.75">
      <c r="C101" s="88" t="s">
        <v>168</v>
      </c>
      <c r="D101" s="84">
        <f>ABS(+D100-F100)</f>
        <v>9.773188975259472E-05</v>
      </c>
      <c r="E101" s="84">
        <f>ABS(+E100-F100)</f>
        <v>7.522502730239466E-05</v>
      </c>
      <c r="F101" s="108">
        <f>MAX(D101:E101)</f>
        <v>9.773188975259472E-05</v>
      </c>
      <c r="G101" s="85" t="str">
        <f>IF(F101&gt;0.01,"RECOMPUTE!","Good")</f>
        <v>Good</v>
      </c>
    </row>
    <row r="103" spans="2:3" ht="15.75">
      <c r="B103" s="1" t="s">
        <v>140</v>
      </c>
      <c r="C103" s="109">
        <f>MAX(C91:C98)</f>
        <v>72.63134055382815</v>
      </c>
    </row>
    <row r="105" spans="2:4" ht="15.75">
      <c r="B105" s="94" t="s">
        <v>141</v>
      </c>
      <c r="C105" s="94"/>
      <c r="D105" s="95">
        <f>+F100/C103</f>
        <v>2.5537756332975188</v>
      </c>
    </row>
    <row r="107" ht="15.75">
      <c r="B107" s="1" t="s">
        <v>144</v>
      </c>
    </row>
    <row r="109" spans="2:10" ht="12.75">
      <c r="B109" s="8" t="s">
        <v>7</v>
      </c>
      <c r="C109" s="8"/>
      <c r="D109" s="8"/>
      <c r="E109" s="8"/>
      <c r="G109" s="8" t="s">
        <v>8</v>
      </c>
      <c r="H109" s="8"/>
      <c r="I109" s="8"/>
      <c r="J109" s="8"/>
    </row>
    <row r="110" spans="2:10" ht="15.75">
      <c r="B110" s="59" t="s">
        <v>145</v>
      </c>
      <c r="D110" s="31">
        <f>+C56</f>
        <v>22.531109812464297</v>
      </c>
      <c r="E110" s="1" t="s">
        <v>75</v>
      </c>
      <c r="G110" s="1" t="s">
        <v>146</v>
      </c>
      <c r="I110" s="31">
        <f>+G56</f>
        <v>15.020739874976199</v>
      </c>
      <c r="J110" s="1" t="s">
        <v>75</v>
      </c>
    </row>
    <row r="111" spans="2:10" ht="15.75">
      <c r="B111" s="59" t="s">
        <v>147</v>
      </c>
      <c r="D111" s="31">
        <f>+D110*D105</f>
        <v>57.53939923022195</v>
      </c>
      <c r="E111" s="1" t="s">
        <v>26</v>
      </c>
      <c r="G111" s="155" t="s">
        <v>268</v>
      </c>
      <c r="I111" s="31">
        <f>+I110*D105</f>
        <v>38.35959948681464</v>
      </c>
      <c r="J111" s="1" t="s">
        <v>26</v>
      </c>
    </row>
    <row r="112" spans="2:10" ht="15.75">
      <c r="B112" s="96" t="s">
        <v>148</v>
      </c>
      <c r="C112" s="94"/>
      <c r="D112" s="97">
        <f>+D111/E44</f>
        <v>41.09957087872997</v>
      </c>
      <c r="E112" s="94" t="s">
        <v>26</v>
      </c>
      <c r="G112" s="96" t="s">
        <v>148</v>
      </c>
      <c r="H112" s="94"/>
      <c r="I112" s="97">
        <f>+I111/K44</f>
        <v>38.35959948681464</v>
      </c>
      <c r="J112" s="94" t="s">
        <v>26</v>
      </c>
    </row>
  </sheetData>
  <sheetProtection password="CADF" sheet="1"/>
  <conditionalFormatting sqref="G101">
    <cfRule type="cellIs" priority="1" dxfId="1" operator="equal" stopIfTrue="1">
      <formula>"Good"</formula>
    </cfRule>
    <cfRule type="cellIs" priority="2" dxfId="0" operator="notEqual" stopIfTrue="1">
      <formula>"Good"</formula>
    </cfRule>
  </conditionalFormatting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AutoCAD.Drawing.17" shapeId="3322207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44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tr">
        <f>+'Example 4.1'!A1</f>
        <v>A Beginner's Guide to the Steel Construction Manual, 14th ed</v>
      </c>
      <c r="H1" s="3" t="s">
        <v>300</v>
      </c>
    </row>
    <row r="2" spans="1:8" ht="12.75">
      <c r="A2" s="2" t="s">
        <v>270</v>
      </c>
      <c r="H2" s="1" t="s">
        <v>256</v>
      </c>
    </row>
    <row r="4" spans="1:4" ht="12.75">
      <c r="A4" s="114" t="s">
        <v>177</v>
      </c>
      <c r="B4" s="115"/>
      <c r="C4" s="115"/>
      <c r="D4" s="115"/>
    </row>
    <row r="6" ht="12.75">
      <c r="B6" s="1" t="s">
        <v>178</v>
      </c>
    </row>
    <row r="7" spans="2:4" ht="15.75">
      <c r="B7" s="1" t="s">
        <v>179</v>
      </c>
      <c r="C7" s="38">
        <v>0.5</v>
      </c>
      <c r="D7" s="1" t="s">
        <v>44</v>
      </c>
    </row>
    <row r="8" spans="2:4" ht="15.75">
      <c r="B8" s="1" t="s">
        <v>180</v>
      </c>
      <c r="C8" s="5">
        <f>1-C7</f>
        <v>0.5</v>
      </c>
      <c r="D8" s="1" t="s">
        <v>44</v>
      </c>
    </row>
    <row r="9" spans="2:4" ht="12.75">
      <c r="B9" s="1" t="s">
        <v>181</v>
      </c>
      <c r="C9" s="37">
        <v>7</v>
      </c>
      <c r="D9" s="1" t="s">
        <v>0</v>
      </c>
    </row>
    <row r="11" spans="7:8" ht="12.75">
      <c r="G11" s="116"/>
      <c r="H11" s="116"/>
    </row>
    <row r="12" spans="2:8" ht="15.75">
      <c r="B12" s="3" t="s">
        <v>309</v>
      </c>
      <c r="C12" s="37">
        <v>50</v>
      </c>
      <c r="D12" s="1" t="s">
        <v>183</v>
      </c>
      <c r="G12" s="116"/>
      <c r="H12" s="116"/>
    </row>
    <row r="13" spans="2:8" ht="15.75">
      <c r="B13" s="163" t="s">
        <v>310</v>
      </c>
      <c r="C13" s="37">
        <v>65</v>
      </c>
      <c r="D13" s="1" t="s">
        <v>183</v>
      </c>
      <c r="G13" s="116"/>
      <c r="H13" s="116"/>
    </row>
    <row r="14" spans="2:8" ht="15.75">
      <c r="B14" s="3" t="s">
        <v>311</v>
      </c>
      <c r="C14" s="37">
        <f>7/8</f>
        <v>0.875</v>
      </c>
      <c r="D14" s="1" t="s">
        <v>0</v>
      </c>
      <c r="G14" s="116"/>
      <c r="H14" s="116"/>
    </row>
    <row r="15" spans="2:8" ht="15.75">
      <c r="B15" s="3" t="s">
        <v>72</v>
      </c>
      <c r="C15" s="147">
        <f>PI()*C14^2/4</f>
        <v>0.6013204688511713</v>
      </c>
      <c r="D15" s="28" t="s">
        <v>184</v>
      </c>
      <c r="G15" s="116"/>
      <c r="H15" s="116"/>
    </row>
    <row r="16" spans="2:8" ht="15.75">
      <c r="B16" s="3" t="s">
        <v>30</v>
      </c>
      <c r="C16" s="37">
        <v>39</v>
      </c>
      <c r="D16" s="1" t="s">
        <v>26</v>
      </c>
      <c r="G16" s="116"/>
      <c r="H16" s="116"/>
    </row>
    <row r="17" spans="7:8" ht="12.75">
      <c r="G17" s="116"/>
      <c r="H17" s="116"/>
    </row>
    <row r="18" spans="2:8" ht="15.75">
      <c r="B18" s="3" t="s">
        <v>312</v>
      </c>
      <c r="C18" s="37">
        <v>54</v>
      </c>
      <c r="D18" s="1" t="s">
        <v>183</v>
      </c>
      <c r="G18" s="116"/>
      <c r="H18" s="116"/>
    </row>
    <row r="19" spans="2:8" ht="15.75">
      <c r="B19" s="3" t="s">
        <v>73</v>
      </c>
      <c r="C19" s="37">
        <v>90</v>
      </c>
      <c r="D19" s="1" t="s">
        <v>183</v>
      </c>
      <c r="G19" s="116"/>
      <c r="H19" s="116"/>
    </row>
    <row r="20" spans="7:8" ht="12.75">
      <c r="G20" s="116"/>
      <c r="H20" s="116"/>
    </row>
    <row r="21" spans="2:8" ht="15.75">
      <c r="B21" s="1" t="s">
        <v>251</v>
      </c>
      <c r="D21" s="117">
        <v>8</v>
      </c>
      <c r="G21" s="3" t="s">
        <v>281</v>
      </c>
      <c r="H21" s="5"/>
    </row>
    <row r="22" spans="2:8" ht="12.75">
      <c r="B22" s="1" t="s">
        <v>189</v>
      </c>
      <c r="D22" s="117">
        <f>D21/2</f>
        <v>4</v>
      </c>
      <c r="G22" s="3" t="s">
        <v>294</v>
      </c>
      <c r="H22" s="5"/>
    </row>
    <row r="23" spans="2:8" ht="12.75">
      <c r="B23" s="1" t="s">
        <v>190</v>
      </c>
      <c r="D23" s="117">
        <v>3</v>
      </c>
      <c r="E23" s="1" t="s">
        <v>0</v>
      </c>
      <c r="G23" s="3" t="s">
        <v>292</v>
      </c>
      <c r="H23" s="5"/>
    </row>
    <row r="24" spans="7:8" ht="12.75">
      <c r="G24" s="3" t="s">
        <v>284</v>
      </c>
      <c r="H24" s="5"/>
    </row>
    <row r="25" spans="4:8" ht="12.75">
      <c r="D25" s="82" t="s">
        <v>230</v>
      </c>
      <c r="E25" s="82" t="s">
        <v>182</v>
      </c>
      <c r="G25" s="3" t="s">
        <v>285</v>
      </c>
      <c r="H25" s="5"/>
    </row>
    <row r="26" spans="2:8" ht="12.75">
      <c r="B26" s="1" t="s">
        <v>259</v>
      </c>
      <c r="C26" s="37" t="s">
        <v>257</v>
      </c>
      <c r="D26" s="148">
        <v>10</v>
      </c>
      <c r="E26" s="148">
        <v>0.645</v>
      </c>
      <c r="F26" s="1" t="s">
        <v>0</v>
      </c>
      <c r="G26" s="4"/>
      <c r="H26" s="5"/>
    </row>
    <row r="27" spans="2:8" ht="12.75">
      <c r="B27" s="1" t="s">
        <v>260</v>
      </c>
      <c r="C27" s="37" t="s">
        <v>258</v>
      </c>
      <c r="D27" s="100">
        <v>6.49</v>
      </c>
      <c r="E27" s="100">
        <v>0.38</v>
      </c>
      <c r="F27" s="1" t="s">
        <v>0</v>
      </c>
      <c r="G27" s="3" t="s">
        <v>286</v>
      </c>
      <c r="H27" s="5"/>
    </row>
    <row r="28" spans="7:8" ht="12.75">
      <c r="G28" s="116"/>
      <c r="H28" s="116"/>
    </row>
    <row r="29" spans="1:2" ht="12.75">
      <c r="A29" s="2" t="s">
        <v>2</v>
      </c>
      <c r="B29" s="1" t="s">
        <v>202</v>
      </c>
    </row>
    <row r="30" spans="1:2" ht="12.75">
      <c r="A30" s="2"/>
      <c r="B30" s="3" t="s">
        <v>290</v>
      </c>
    </row>
    <row r="31" ht="12.75">
      <c r="A31" s="2"/>
    </row>
    <row r="32" ht="12.75">
      <c r="B32" s="1" t="s">
        <v>203</v>
      </c>
    </row>
    <row r="33" ht="12.75">
      <c r="B33" s="1" t="s">
        <v>204</v>
      </c>
    </row>
    <row r="35" ht="12.75">
      <c r="A35" s="2" t="s">
        <v>3</v>
      </c>
    </row>
    <row r="36" ht="12.75">
      <c r="A36" s="2"/>
    </row>
    <row r="37" spans="1:8" ht="12.75">
      <c r="A37" s="2"/>
      <c r="B37" s="1" t="s">
        <v>185</v>
      </c>
      <c r="G37" s="16" t="s">
        <v>7</v>
      </c>
      <c r="H37" s="118" t="s">
        <v>8</v>
      </c>
    </row>
    <row r="38" spans="1:8" ht="12.75">
      <c r="A38" s="2"/>
      <c r="G38" s="156" t="s">
        <v>269</v>
      </c>
      <c r="H38" s="157" t="s">
        <v>269</v>
      </c>
    </row>
    <row r="39" spans="1:8" ht="12.75">
      <c r="A39" s="2"/>
      <c r="D39" s="119" t="s">
        <v>186</v>
      </c>
      <c r="E39" s="120" t="s">
        <v>227</v>
      </c>
      <c r="F39" s="120"/>
      <c r="G39" s="121"/>
      <c r="H39" s="122"/>
    </row>
    <row r="40" spans="1:8" ht="12.75">
      <c r="A40" s="2"/>
      <c r="D40" s="123"/>
      <c r="E40" s="11" t="s">
        <v>211</v>
      </c>
      <c r="F40" s="11"/>
      <c r="G40" s="124">
        <f>+D70</f>
        <v>139.16273707698537</v>
      </c>
      <c r="H40" s="125">
        <f>+J70</f>
        <v>129.885221271853</v>
      </c>
    </row>
    <row r="41" spans="1:8" ht="12.75">
      <c r="A41" s="2"/>
      <c r="D41" s="123"/>
      <c r="E41" s="11" t="s">
        <v>210</v>
      </c>
      <c r="F41" s="11"/>
      <c r="G41" s="124">
        <f>+D100</f>
        <v>81.71479141221997</v>
      </c>
      <c r="H41" s="125">
        <f>+J100</f>
        <v>52.5370242295029</v>
      </c>
    </row>
    <row r="42" spans="1:9" ht="12.75">
      <c r="A42" s="2"/>
      <c r="D42" s="126"/>
      <c r="E42" s="127" t="s">
        <v>228</v>
      </c>
      <c r="F42" s="8"/>
      <c r="G42" s="128">
        <f>MIN(G40:G41)</f>
        <v>81.71479141221997</v>
      </c>
      <c r="H42" s="129">
        <f>MIN(H40:H41)</f>
        <v>52.5370242295029</v>
      </c>
      <c r="I42" s="1" t="s">
        <v>248</v>
      </c>
    </row>
    <row r="43" spans="1:8" ht="12.75">
      <c r="A43" s="2"/>
      <c r="D43" s="123" t="s">
        <v>187</v>
      </c>
      <c r="E43" s="59" t="s">
        <v>209</v>
      </c>
      <c r="F43" s="11"/>
      <c r="G43" s="130"/>
      <c r="H43" s="131"/>
    </row>
    <row r="44" spans="1:8" ht="12.75">
      <c r="A44" s="2"/>
      <c r="D44" s="123"/>
      <c r="E44" s="11" t="s">
        <v>211</v>
      </c>
      <c r="F44" s="11"/>
      <c r="G44" s="124">
        <f>+D124</f>
        <v>139.16273707698537</v>
      </c>
      <c r="H44" s="125">
        <f>+J124</f>
        <v>129.885221271853</v>
      </c>
    </row>
    <row r="45" spans="1:8" ht="12.75">
      <c r="A45" s="2"/>
      <c r="D45" s="123"/>
      <c r="E45" s="11" t="s">
        <v>210</v>
      </c>
      <c r="F45" s="11"/>
      <c r="G45" s="124">
        <f>+D141</f>
        <v>66.18715543905401</v>
      </c>
      <c r="H45" s="125">
        <f>+J141</f>
        <v>49.66199636864967</v>
      </c>
    </row>
    <row r="46" spans="1:9" ht="12.75">
      <c r="A46" s="2"/>
      <c r="D46" s="126"/>
      <c r="E46" s="8" t="s">
        <v>228</v>
      </c>
      <c r="F46" s="8"/>
      <c r="G46" s="128">
        <f>MIN(G44:G45)</f>
        <v>66.18715543905401</v>
      </c>
      <c r="H46" s="129">
        <f>MIN(H44:H45)</f>
        <v>49.66199636864967</v>
      </c>
      <c r="I46" s="1" t="s">
        <v>249</v>
      </c>
    </row>
    <row r="47" ht="12.75">
      <c r="A47" s="2"/>
    </row>
    <row r="48" spans="1:2" ht="12.75">
      <c r="A48" s="26" t="s">
        <v>12</v>
      </c>
      <c r="B48" s="8"/>
    </row>
    <row r="49" spans="1:9" ht="12.75">
      <c r="A49" s="11" t="s">
        <v>47</v>
      </c>
      <c r="B49" s="11"/>
      <c r="C49" s="11"/>
      <c r="G49" s="11" t="s">
        <v>121</v>
      </c>
      <c r="H49" s="11"/>
      <c r="I49" s="11"/>
    </row>
    <row r="50" spans="2:9" ht="12.75">
      <c r="B50" s="11"/>
      <c r="C50" s="11"/>
      <c r="H50" s="11"/>
      <c r="I50" s="11"/>
    </row>
    <row r="51" spans="1:12" ht="15.75">
      <c r="A51" s="11" t="s">
        <v>42</v>
      </c>
      <c r="B51" s="11"/>
      <c r="C51" s="11"/>
      <c r="D51" s="1" t="s">
        <v>43</v>
      </c>
      <c r="E51" s="57">
        <f>1.2*C7+1.6*C8</f>
        <v>1.4</v>
      </c>
      <c r="F51" s="3" t="s">
        <v>276</v>
      </c>
      <c r="G51" s="11" t="s">
        <v>63</v>
      </c>
      <c r="H51" s="11"/>
      <c r="I51" s="11"/>
      <c r="J51" s="1" t="s">
        <v>80</v>
      </c>
      <c r="K51" s="57">
        <f>1*C7+1*C8</f>
        <v>1</v>
      </c>
      <c r="L51" s="3" t="s">
        <v>276</v>
      </c>
    </row>
    <row r="52" spans="1:2" s="3" customFormat="1" ht="12.75">
      <c r="A52" s="132"/>
      <c r="B52" s="132"/>
    </row>
    <row r="53" spans="1:11" ht="12.75">
      <c r="A53" s="66" t="s">
        <v>188</v>
      </c>
      <c r="B53" s="133"/>
      <c r="C53" s="134"/>
      <c r="D53" s="133"/>
      <c r="H53" s="11"/>
      <c r="I53" s="133"/>
      <c r="J53" s="134"/>
      <c r="K53" s="133"/>
    </row>
    <row r="54" spans="1:11" ht="12.75">
      <c r="A54" s="11"/>
      <c r="B54" s="133"/>
      <c r="C54" s="134"/>
      <c r="D54" s="133"/>
      <c r="H54" s="11"/>
      <c r="I54" s="133"/>
      <c r="J54" s="134"/>
      <c r="K54" s="133"/>
    </row>
    <row r="55" spans="1:11" ht="12.75">
      <c r="A55" s="1" t="s">
        <v>229</v>
      </c>
      <c r="B55" s="133"/>
      <c r="C55" s="134"/>
      <c r="D55" s="133"/>
      <c r="H55" s="11"/>
      <c r="I55" s="133"/>
      <c r="J55" s="134"/>
      <c r="K55" s="133"/>
    </row>
    <row r="56" spans="1:11" ht="12.75">
      <c r="A56" s="11"/>
      <c r="B56" s="133"/>
      <c r="C56" s="134"/>
      <c r="D56" s="133"/>
      <c r="H56" s="11"/>
      <c r="I56" s="133"/>
      <c r="J56" s="134"/>
      <c r="K56" s="133"/>
    </row>
    <row r="57" spans="1:2" ht="12.75">
      <c r="A57" s="11"/>
      <c r="B57" s="2" t="s">
        <v>193</v>
      </c>
    </row>
    <row r="58" spans="1:5" ht="15.75">
      <c r="A58" s="11"/>
      <c r="B58" s="1" t="s">
        <v>51</v>
      </c>
      <c r="D58" s="1">
        <f>+C18</f>
        <v>54</v>
      </c>
      <c r="E58" s="1" t="s">
        <v>183</v>
      </c>
    </row>
    <row r="59" spans="1:5" ht="15.75">
      <c r="A59" s="11"/>
      <c r="B59" s="1" t="s">
        <v>49</v>
      </c>
      <c r="D59" s="135">
        <f>+C15</f>
        <v>0.6013204688511713</v>
      </c>
      <c r="E59" s="1" t="s">
        <v>184</v>
      </c>
    </row>
    <row r="60" spans="1:5" ht="15.75">
      <c r="A60" s="11"/>
      <c r="B60" s="1" t="s">
        <v>214</v>
      </c>
      <c r="D60" s="31">
        <f>+D58*D59</f>
        <v>32.47130531796325</v>
      </c>
      <c r="E60" s="1" t="s">
        <v>194</v>
      </c>
    </row>
    <row r="61" spans="1:4" ht="12.75">
      <c r="A61" s="11"/>
      <c r="B61" s="1" t="s">
        <v>195</v>
      </c>
      <c r="D61" s="37">
        <v>1</v>
      </c>
    </row>
    <row r="62" spans="1:5" ht="15.75">
      <c r="A62" s="11"/>
      <c r="B62" s="1" t="s">
        <v>196</v>
      </c>
      <c r="D62" s="31">
        <f>+D60*D61</f>
        <v>32.47130531796325</v>
      </c>
      <c r="E62" s="1" t="s">
        <v>75</v>
      </c>
    </row>
    <row r="63" ht="12.75">
      <c r="A63" s="11"/>
    </row>
    <row r="64" spans="1:11" ht="12.75">
      <c r="A64" s="11"/>
      <c r="B64" s="8" t="s">
        <v>7</v>
      </c>
      <c r="C64" s="8"/>
      <c r="D64" s="8"/>
      <c r="E64" s="8"/>
      <c r="H64" s="8" t="s">
        <v>8</v>
      </c>
      <c r="I64" s="8"/>
      <c r="J64" s="8"/>
      <c r="K64" s="8"/>
    </row>
    <row r="65" spans="1:11" ht="15.75">
      <c r="A65" s="11"/>
      <c r="B65" s="59" t="s">
        <v>215</v>
      </c>
      <c r="C65" s="11"/>
      <c r="D65" s="11"/>
      <c r="E65" s="11"/>
      <c r="H65" s="59" t="s">
        <v>216</v>
      </c>
      <c r="I65" s="11"/>
      <c r="J65" s="11"/>
      <c r="K65" s="11"/>
    </row>
    <row r="66" spans="1:11" ht="15.75">
      <c r="A66" s="11"/>
      <c r="B66" s="136" t="s">
        <v>200</v>
      </c>
      <c r="D66" s="133">
        <v>0.75</v>
      </c>
      <c r="E66" s="133"/>
      <c r="F66" s="133"/>
      <c r="H66" s="136" t="s">
        <v>217</v>
      </c>
      <c r="I66" s="133"/>
      <c r="J66" s="133">
        <v>2</v>
      </c>
      <c r="K66" s="133"/>
    </row>
    <row r="67" spans="1:11" ht="15.75">
      <c r="A67" s="11"/>
      <c r="B67" s="136" t="s">
        <v>207</v>
      </c>
      <c r="D67" s="137">
        <f>+D66*D62</f>
        <v>24.35347898847244</v>
      </c>
      <c r="E67" s="133" t="s">
        <v>27</v>
      </c>
      <c r="F67" s="133"/>
      <c r="H67" s="133" t="s">
        <v>218</v>
      </c>
      <c r="I67" s="133"/>
      <c r="J67" s="137">
        <f>+D62/J66</f>
        <v>16.235652658981625</v>
      </c>
      <c r="K67" s="133" t="s">
        <v>27</v>
      </c>
    </row>
    <row r="68" spans="1:12" ht="15.75">
      <c r="A68" s="11"/>
      <c r="B68" s="138" t="s">
        <v>220</v>
      </c>
      <c r="D68" s="139">
        <f>+D67*D21</f>
        <v>194.8278319077795</v>
      </c>
      <c r="E68" s="139" t="s">
        <v>35</v>
      </c>
      <c r="F68" s="139"/>
      <c r="G68" s="139"/>
      <c r="H68" s="139" t="s">
        <v>219</v>
      </c>
      <c r="I68" s="139"/>
      <c r="J68" s="139">
        <f>+J67*D21</f>
        <v>129.885221271853</v>
      </c>
      <c r="K68" s="139" t="s">
        <v>35</v>
      </c>
      <c r="L68" s="139"/>
    </row>
    <row r="69" spans="1:12" ht="12.75">
      <c r="A69" s="11"/>
      <c r="B69" s="138" t="s">
        <v>208</v>
      </c>
      <c r="D69" s="139">
        <f>+E51</f>
        <v>1.4</v>
      </c>
      <c r="E69" s="139"/>
      <c r="F69" s="139"/>
      <c r="G69" s="139"/>
      <c r="H69" s="139" t="s">
        <v>208</v>
      </c>
      <c r="I69" s="139"/>
      <c r="J69" s="139">
        <f>+K51</f>
        <v>1</v>
      </c>
      <c r="K69" s="139"/>
      <c r="L69" s="139"/>
    </row>
    <row r="70" spans="1:12" ht="14.25">
      <c r="A70" s="11"/>
      <c r="B70" s="140" t="s">
        <v>295</v>
      </c>
      <c r="C70" s="141"/>
      <c r="D70" s="142">
        <f>+D68/D69</f>
        <v>139.16273707698537</v>
      </c>
      <c r="E70" s="142" t="s">
        <v>35</v>
      </c>
      <c r="F70" s="142"/>
      <c r="G70" s="143"/>
      <c r="H70" s="140" t="s">
        <v>295</v>
      </c>
      <c r="I70" s="141"/>
      <c r="J70" s="142">
        <f>+J68/J69</f>
        <v>129.885221271853</v>
      </c>
      <c r="K70" s="142" t="s">
        <v>35</v>
      </c>
      <c r="L70" s="142"/>
    </row>
    <row r="71" spans="1:11" ht="12.75">
      <c r="A71" s="11"/>
      <c r="B71" s="133"/>
      <c r="C71" s="134"/>
      <c r="D71" s="133"/>
      <c r="H71" s="11"/>
      <c r="I71" s="133"/>
      <c r="J71" s="134"/>
      <c r="K71" s="133"/>
    </row>
    <row r="73" ht="12.75">
      <c r="B73" s="144" t="s">
        <v>231</v>
      </c>
    </row>
    <row r="74" ht="12.75">
      <c r="F74" s="1" t="s">
        <v>234</v>
      </c>
    </row>
    <row r="75" spans="2:11" ht="14.25">
      <c r="B75" s="1" t="s">
        <v>201</v>
      </c>
      <c r="C75" s="111">
        <v>3.196146255025872</v>
      </c>
      <c r="D75" s="135" t="s">
        <v>0</v>
      </c>
      <c r="F75" s="52" t="s">
        <v>235</v>
      </c>
      <c r="G75" s="52" t="s">
        <v>238</v>
      </c>
      <c r="H75" s="52" t="s">
        <v>236</v>
      </c>
      <c r="I75" s="52" t="s">
        <v>244</v>
      </c>
      <c r="J75" s="52" t="s">
        <v>237</v>
      </c>
      <c r="K75" s="52" t="s">
        <v>245</v>
      </c>
    </row>
    <row r="76" spans="2:11" ht="12.75">
      <c r="B76" s="1" t="s">
        <v>232</v>
      </c>
      <c r="C76" s="1">
        <v>12</v>
      </c>
      <c r="D76" s="135" t="s">
        <v>0</v>
      </c>
      <c r="F76" s="79">
        <v>1</v>
      </c>
      <c r="G76" s="86">
        <f>2*C15</f>
        <v>1.2026409377023426</v>
      </c>
      <c r="H76" s="98">
        <v>1.5</v>
      </c>
      <c r="I76" s="86">
        <f>+C$76-C$75-H76</f>
        <v>7.303853744974127</v>
      </c>
      <c r="J76" s="80">
        <f>MAX(0,G76*I76)</f>
        <v>8.783913516696451</v>
      </c>
      <c r="K76" s="80">
        <f>+J76*I76</f>
        <v>64.15641963445223</v>
      </c>
    </row>
    <row r="77" spans="2:11" ht="12.75">
      <c r="B77" s="1" t="s">
        <v>233</v>
      </c>
      <c r="C77" s="1">
        <f>+MIN(D27,8*E27)</f>
        <v>3.04</v>
      </c>
      <c r="D77" s="135" t="s">
        <v>0</v>
      </c>
      <c r="F77" s="13">
        <v>2</v>
      </c>
      <c r="G77" s="88">
        <f>+G76</f>
        <v>1.2026409377023426</v>
      </c>
      <c r="H77" s="99">
        <f>3+H76</f>
        <v>4.5</v>
      </c>
      <c r="I77" s="88">
        <f>+C$76-C$75-H77</f>
        <v>4.303853744974127</v>
      </c>
      <c r="J77" s="81">
        <f>MAX(0,G77*I77)</f>
        <v>5.175990703589423</v>
      </c>
      <c r="K77" s="81">
        <f>+J77*I77</f>
        <v>22.276706973594603</v>
      </c>
    </row>
    <row r="78" spans="2:11" ht="14.25">
      <c r="B78" s="1" t="s">
        <v>239</v>
      </c>
      <c r="C78" s="85">
        <f>+C77*C75*C75/2</f>
        <v>15.527333342944178</v>
      </c>
      <c r="D78" s="135" t="s">
        <v>240</v>
      </c>
      <c r="F78" s="13">
        <v>3</v>
      </c>
      <c r="G78" s="88">
        <f>+G77</f>
        <v>1.2026409377023426</v>
      </c>
      <c r="H78" s="99">
        <f>3+H77</f>
        <v>7.5</v>
      </c>
      <c r="I78" s="88">
        <f>+C$76-C$75-H78</f>
        <v>1.303853744974127</v>
      </c>
      <c r="J78" s="81">
        <f>MAX(0,G78*I78)</f>
        <v>1.568067890482395</v>
      </c>
      <c r="K78" s="81">
        <f>+J78*I78</f>
        <v>2.04453119137915</v>
      </c>
    </row>
    <row r="79" spans="4:11" ht="12.75">
      <c r="D79" s="135"/>
      <c r="F79" s="82">
        <v>4</v>
      </c>
      <c r="G79" s="90">
        <f>+G78</f>
        <v>1.2026409377023426</v>
      </c>
      <c r="H79" s="100">
        <f>3+H78</f>
        <v>10.5</v>
      </c>
      <c r="I79" s="90">
        <f>+C$76-C$75-H79</f>
        <v>-1.696146255025873</v>
      </c>
      <c r="J79" s="83">
        <f>MAX(0,G79*I79)</f>
        <v>0</v>
      </c>
      <c r="K79" s="83">
        <f>+J79*I79</f>
        <v>0</v>
      </c>
    </row>
    <row r="80" spans="6:10" ht="12.75">
      <c r="F80" s="52"/>
      <c r="G80" s="52"/>
      <c r="H80" s="52"/>
      <c r="I80" s="52" t="s">
        <v>241</v>
      </c>
      <c r="J80" s="84">
        <f>SUM(J76:J79)</f>
        <v>15.52797211076827</v>
      </c>
    </row>
    <row r="81" spans="2:11" ht="14.25">
      <c r="B81" s="1" t="s">
        <v>242</v>
      </c>
      <c r="D81" s="85">
        <f>+C78-J80</f>
        <v>-0.0006387678240908912</v>
      </c>
      <c r="E81" s="1" t="s">
        <v>243</v>
      </c>
      <c r="J81" s="52" t="s">
        <v>250</v>
      </c>
      <c r="K81" s="84">
        <f>SUM(K76:K79)</f>
        <v>88.47765779942598</v>
      </c>
    </row>
    <row r="82" ht="12.75">
      <c r="D82" s="85"/>
    </row>
    <row r="83" spans="2:6" ht="15.75">
      <c r="B83" s="1" t="s">
        <v>246</v>
      </c>
      <c r="D83" s="85"/>
      <c r="E83" s="31">
        <f>+C77*(C75^3)/3+K81</f>
        <v>121.56274334248558</v>
      </c>
      <c r="F83" s="1" t="s">
        <v>135</v>
      </c>
    </row>
    <row r="84" ht="12.75">
      <c r="D84" s="85"/>
    </row>
    <row r="85" spans="2:5" ht="15.75">
      <c r="B85" s="2" t="s">
        <v>252</v>
      </c>
      <c r="D85" s="85">
        <f>+C9*I76*C15/E83</f>
        <v>0.2529039446059688</v>
      </c>
      <c r="E85" s="4" t="s">
        <v>247</v>
      </c>
    </row>
    <row r="86" spans="4:8" ht="12.75">
      <c r="D86" s="135"/>
      <c r="G86" s="1">
        <f>1.3*90</f>
        <v>117</v>
      </c>
      <c r="H86" s="1">
        <f>90/0.75/48/8/0.6013</f>
        <v>0.5197073008481624</v>
      </c>
    </row>
    <row r="87" spans="2:9" ht="12.75">
      <c r="B87" s="2" t="s">
        <v>199</v>
      </c>
      <c r="G87" s="1">
        <f>+G86*0.6013</f>
        <v>70.3521</v>
      </c>
      <c r="H87" s="1">
        <f>+H86*K88</f>
        <v>56.6480957924497</v>
      </c>
      <c r="I87" s="1">
        <f>+G87-H87</f>
        <v>13.704004207550291</v>
      </c>
    </row>
    <row r="88" spans="2:11" ht="15.75">
      <c r="B88" s="1" t="s">
        <v>212</v>
      </c>
      <c r="D88" s="1">
        <f>+C19</f>
        <v>90</v>
      </c>
      <c r="E88" s="1" t="s">
        <v>183</v>
      </c>
      <c r="I88" s="1">
        <f>0.25*K88</f>
        <v>27.25</v>
      </c>
      <c r="K88" s="1">
        <v>109</v>
      </c>
    </row>
    <row r="89" spans="2:5" ht="15.75">
      <c r="B89" s="1" t="s">
        <v>49</v>
      </c>
      <c r="D89" s="135">
        <f>+D59</f>
        <v>0.6013204688511713</v>
      </c>
      <c r="E89" s="1" t="s">
        <v>184</v>
      </c>
    </row>
    <row r="90" ht="12.75">
      <c r="A90" s="11"/>
    </row>
    <row r="91" spans="1:11" ht="12.75">
      <c r="A91" s="11"/>
      <c r="B91" s="8" t="s">
        <v>7</v>
      </c>
      <c r="C91" s="8"/>
      <c r="D91" s="8"/>
      <c r="E91" s="8"/>
      <c r="H91" s="8" t="s">
        <v>8</v>
      </c>
      <c r="I91" s="8"/>
      <c r="J91" s="8"/>
      <c r="K91" s="8"/>
    </row>
    <row r="92" spans="1:11" ht="15.75">
      <c r="A92" s="11"/>
      <c r="B92" s="145" t="s">
        <v>254</v>
      </c>
      <c r="C92" s="11"/>
      <c r="D92" s="11"/>
      <c r="E92" s="11"/>
      <c r="H92" s="59" t="s">
        <v>255</v>
      </c>
      <c r="I92" s="11"/>
      <c r="J92" s="11"/>
      <c r="K92" s="11"/>
    </row>
    <row r="93" spans="1:11" ht="15.75">
      <c r="A93" s="11"/>
      <c r="B93" s="136" t="s">
        <v>197</v>
      </c>
      <c r="D93" s="133">
        <v>0.75</v>
      </c>
      <c r="E93" s="11"/>
      <c r="H93" s="136" t="s">
        <v>198</v>
      </c>
      <c r="I93" s="133"/>
      <c r="J93" s="133">
        <v>2</v>
      </c>
      <c r="K93" s="11"/>
    </row>
    <row r="94" spans="1:11" ht="15.75">
      <c r="A94" s="11"/>
      <c r="B94" s="59" t="s">
        <v>223</v>
      </c>
      <c r="D94" s="137">
        <f>1.3*D88*D89/(D85+D88/D58/D21)*D93</f>
        <v>114.40070797710794</v>
      </c>
      <c r="E94" s="133" t="s">
        <v>26</v>
      </c>
      <c r="H94" s="59" t="s">
        <v>224</v>
      </c>
      <c r="J94" s="137">
        <f>1.3*D88*D89/(D85+J93*D88/D58/D21)/J93</f>
        <v>52.5370242295029</v>
      </c>
      <c r="K94" s="133" t="s">
        <v>26</v>
      </c>
    </row>
    <row r="95" spans="1:11" ht="15.75">
      <c r="A95" s="11"/>
      <c r="B95" s="155" t="s">
        <v>253</v>
      </c>
      <c r="D95" s="137"/>
      <c r="E95" s="133"/>
      <c r="H95" s="155" t="s">
        <v>253</v>
      </c>
      <c r="J95" s="137"/>
      <c r="K95" s="133"/>
    </row>
    <row r="96" spans="1:11" ht="15.75">
      <c r="A96" s="11"/>
      <c r="B96" s="1" t="s">
        <v>221</v>
      </c>
      <c r="D96" s="137">
        <f>+D94/D21/D89</f>
        <v>23.781143729331138</v>
      </c>
      <c r="E96" s="133" t="s">
        <v>183</v>
      </c>
      <c r="H96" s="1" t="s">
        <v>221</v>
      </c>
      <c r="J96" s="137">
        <f>+J94/D21/D89</f>
        <v>10.921178254973468</v>
      </c>
      <c r="K96" s="133" t="s">
        <v>183</v>
      </c>
    </row>
    <row r="97" spans="1:11" ht="15.75">
      <c r="A97" s="11"/>
      <c r="B97" s="11" t="s">
        <v>225</v>
      </c>
      <c r="D97" s="60">
        <f>MIN(1.3*D88-D88/D93/D58*D96,D88)</f>
        <v>64.15301393481968</v>
      </c>
      <c r="E97" s="11" t="s">
        <v>183</v>
      </c>
      <c r="H97" s="11" t="s">
        <v>226</v>
      </c>
      <c r="I97" s="11"/>
      <c r="J97" s="60">
        <f>MIN(1.3*D88-J93*D88/D58*J96,D88)</f>
        <v>80.59607248342178</v>
      </c>
      <c r="K97" s="11" t="s">
        <v>183</v>
      </c>
    </row>
    <row r="98" spans="1:11" ht="15.75">
      <c r="A98" s="11"/>
      <c r="B98" s="11" t="s">
        <v>222</v>
      </c>
      <c r="D98" s="146">
        <f>+D97/D88</f>
        <v>0.7128112659424409</v>
      </c>
      <c r="E98" s="11" t="str">
        <f>IF(D98&lt;=1,"&lt; 1 … OK","&gt; 1 .. NG")</f>
        <v>&lt; 1 … OK</v>
      </c>
      <c r="H98" s="11" t="s">
        <v>222</v>
      </c>
      <c r="I98" s="11"/>
      <c r="J98" s="146">
        <f>+J97/D88</f>
        <v>0.8955119164824642</v>
      </c>
      <c r="K98" s="11" t="str">
        <f>IF(J98&lt;=1,"&lt; 1 … OK","&gt; 1 .. NG")</f>
        <v>&lt; 1 … OK</v>
      </c>
    </row>
    <row r="99" spans="1:12" ht="12.75">
      <c r="A99" s="11"/>
      <c r="B99" s="138" t="s">
        <v>208</v>
      </c>
      <c r="D99" s="139">
        <f>+D69</f>
        <v>1.4</v>
      </c>
      <c r="E99" s="139"/>
      <c r="F99" s="139"/>
      <c r="G99" s="139"/>
      <c r="H99" s="139" t="s">
        <v>208</v>
      </c>
      <c r="I99" s="139"/>
      <c r="J99" s="139">
        <f>+J69</f>
        <v>1</v>
      </c>
      <c r="K99" s="139"/>
      <c r="L99" s="139"/>
    </row>
    <row r="100" spans="1:12" ht="14.25">
      <c r="A100" s="11"/>
      <c r="B100" s="140" t="s">
        <v>295</v>
      </c>
      <c r="C100" s="141"/>
      <c r="D100" s="142">
        <f>+D94/D99</f>
        <v>81.71479141221997</v>
      </c>
      <c r="E100" s="142" t="s">
        <v>35</v>
      </c>
      <c r="F100" s="142"/>
      <c r="G100" s="143"/>
      <c r="H100" s="140" t="s">
        <v>295</v>
      </c>
      <c r="I100" s="141"/>
      <c r="J100" s="142">
        <f>+J94/J99</f>
        <v>52.5370242295029</v>
      </c>
      <c r="K100" s="142" t="s">
        <v>35</v>
      </c>
      <c r="L100" s="142"/>
    </row>
    <row r="101" spans="1:11" ht="12.75">
      <c r="A101" s="11"/>
      <c r="B101" s="133"/>
      <c r="C101" s="134"/>
      <c r="D101" s="133"/>
      <c r="H101" s="11"/>
      <c r="I101" s="133"/>
      <c r="J101" s="134"/>
      <c r="K101" s="133"/>
    </row>
    <row r="102" ht="12.75">
      <c r="A102" s="2" t="s">
        <v>205</v>
      </c>
    </row>
    <row r="104" ht="12.75">
      <c r="A104" s="1" t="s">
        <v>206</v>
      </c>
    </row>
    <row r="106" spans="2:4" ht="12.75">
      <c r="B106" s="1" t="s">
        <v>191</v>
      </c>
      <c r="D106" s="37">
        <v>4</v>
      </c>
    </row>
    <row r="107" spans="2:5" ht="12.75">
      <c r="B107" s="1" t="s">
        <v>192</v>
      </c>
      <c r="D107" s="37">
        <v>6</v>
      </c>
      <c r="E107" s="1" t="s">
        <v>0</v>
      </c>
    </row>
    <row r="109" ht="15.75">
      <c r="B109" s="1" t="s">
        <v>213</v>
      </c>
    </row>
    <row r="111" ht="12.75">
      <c r="B111" s="2" t="s">
        <v>193</v>
      </c>
    </row>
    <row r="112" spans="2:5" ht="15.75">
      <c r="B112" s="1" t="s">
        <v>51</v>
      </c>
      <c r="D112" s="1">
        <f>+C18</f>
        <v>54</v>
      </c>
      <c r="E112" s="1" t="s">
        <v>183</v>
      </c>
    </row>
    <row r="113" spans="2:5" ht="15.75">
      <c r="B113" s="1" t="s">
        <v>49</v>
      </c>
      <c r="D113" s="135">
        <f>+C15</f>
        <v>0.6013204688511713</v>
      </c>
      <c r="E113" s="1" t="s">
        <v>184</v>
      </c>
    </row>
    <row r="114" spans="2:5" ht="15.75">
      <c r="B114" s="1" t="s">
        <v>214</v>
      </c>
      <c r="D114" s="31">
        <f>+D112*D113</f>
        <v>32.47130531796325</v>
      </c>
      <c r="E114" s="1" t="s">
        <v>194</v>
      </c>
    </row>
    <row r="115" spans="2:4" ht="12.75">
      <c r="B115" s="1" t="s">
        <v>195</v>
      </c>
      <c r="D115" s="37">
        <v>1</v>
      </c>
    </row>
    <row r="116" spans="2:5" ht="15.75">
      <c r="B116" s="1" t="s">
        <v>196</v>
      </c>
      <c r="D116" s="31">
        <f>+D114*D115</f>
        <v>32.47130531796325</v>
      </c>
      <c r="E116" s="1" t="s">
        <v>75</v>
      </c>
    </row>
    <row r="118" spans="2:11" ht="12.75">
      <c r="B118" s="8" t="s">
        <v>7</v>
      </c>
      <c r="C118" s="8"/>
      <c r="D118" s="8"/>
      <c r="E118" s="8"/>
      <c r="H118" s="8" t="s">
        <v>8</v>
      </c>
      <c r="I118" s="8"/>
      <c r="J118" s="8"/>
      <c r="K118" s="8"/>
    </row>
    <row r="119" spans="2:11" ht="15.75">
      <c r="B119" s="59" t="s">
        <v>215</v>
      </c>
      <c r="C119" s="11"/>
      <c r="D119" s="11"/>
      <c r="E119" s="11"/>
      <c r="H119" s="59" t="s">
        <v>216</v>
      </c>
      <c r="I119" s="11"/>
      <c r="J119" s="11"/>
      <c r="K119" s="11"/>
    </row>
    <row r="120" spans="2:11" ht="15.75">
      <c r="B120" s="136" t="s">
        <v>200</v>
      </c>
      <c r="D120" s="133">
        <v>0.75</v>
      </c>
      <c r="E120" s="133"/>
      <c r="F120" s="133"/>
      <c r="H120" s="136" t="s">
        <v>217</v>
      </c>
      <c r="I120" s="133"/>
      <c r="J120" s="133">
        <v>2</v>
      </c>
      <c r="K120" s="133"/>
    </row>
    <row r="121" spans="2:11" ht="15.75">
      <c r="B121" s="136" t="s">
        <v>207</v>
      </c>
      <c r="D121" s="137">
        <f>+D120*D116</f>
        <v>24.35347898847244</v>
      </c>
      <c r="E121" s="133" t="s">
        <v>27</v>
      </c>
      <c r="F121" s="133"/>
      <c r="H121" s="133" t="s">
        <v>218</v>
      </c>
      <c r="I121" s="133"/>
      <c r="J121" s="137">
        <f>+D116/J120</f>
        <v>16.235652658981625</v>
      </c>
      <c r="K121" s="133" t="s">
        <v>27</v>
      </c>
    </row>
    <row r="122" spans="2:12" ht="15.75">
      <c r="B122" s="138" t="s">
        <v>220</v>
      </c>
      <c r="D122" s="139">
        <f>+D121*D21</f>
        <v>194.8278319077795</v>
      </c>
      <c r="E122" s="139" t="s">
        <v>35</v>
      </c>
      <c r="F122" s="139"/>
      <c r="G122" s="139"/>
      <c r="H122" s="161" t="s">
        <v>296</v>
      </c>
      <c r="I122" s="139"/>
      <c r="J122" s="139">
        <f>+J121*D21</f>
        <v>129.885221271853</v>
      </c>
      <c r="K122" s="139" t="s">
        <v>35</v>
      </c>
      <c r="L122" s="139"/>
    </row>
    <row r="123" spans="2:12" ht="12.75">
      <c r="B123" s="138" t="s">
        <v>208</v>
      </c>
      <c r="D123" s="139">
        <f>+E51</f>
        <v>1.4</v>
      </c>
      <c r="E123" s="139"/>
      <c r="F123" s="139"/>
      <c r="G123" s="139"/>
      <c r="H123" s="139" t="s">
        <v>208</v>
      </c>
      <c r="I123" s="139"/>
      <c r="J123" s="139">
        <f>+K51</f>
        <v>1</v>
      </c>
      <c r="K123" s="139"/>
      <c r="L123" s="139"/>
    </row>
    <row r="124" spans="2:12" ht="14.25">
      <c r="B124" s="140" t="s">
        <v>295</v>
      </c>
      <c r="C124" s="141"/>
      <c r="D124" s="142">
        <f>+D122/D123</f>
        <v>139.16273707698537</v>
      </c>
      <c r="E124" s="142" t="s">
        <v>35</v>
      </c>
      <c r="F124" s="142"/>
      <c r="G124" s="143"/>
      <c r="H124" s="140" t="s">
        <v>295</v>
      </c>
      <c r="I124" s="141"/>
      <c r="J124" s="142">
        <f>+J122/J123</f>
        <v>129.885221271853</v>
      </c>
      <c r="K124" s="142" t="s">
        <v>35</v>
      </c>
      <c r="L124" s="142"/>
    </row>
    <row r="126" ht="12.75">
      <c r="B126" s="2" t="s">
        <v>199</v>
      </c>
    </row>
    <row r="127" spans="2:5" ht="15.75">
      <c r="B127" s="1" t="s">
        <v>212</v>
      </c>
      <c r="D127" s="1">
        <f>+C19</f>
        <v>90</v>
      </c>
      <c r="E127" s="1" t="s">
        <v>183</v>
      </c>
    </row>
    <row r="128" spans="2:5" ht="15.75">
      <c r="B128" s="1" t="s">
        <v>49</v>
      </c>
      <c r="D128" s="135">
        <f>+C15</f>
        <v>0.6013204688511713</v>
      </c>
      <c r="E128" s="1" t="s">
        <v>184</v>
      </c>
    </row>
    <row r="129" ht="12.75">
      <c r="D129" s="135"/>
    </row>
    <row r="130" spans="2:5" ht="15.75">
      <c r="B130" s="2" t="s">
        <v>252</v>
      </c>
      <c r="D130" s="85">
        <f>+C9/D106/D107</f>
        <v>0.2916666666666667</v>
      </c>
      <c r="E130" s="4" t="s">
        <v>247</v>
      </c>
    </row>
    <row r="132" spans="2:11" ht="12.75">
      <c r="B132" s="8" t="s">
        <v>7</v>
      </c>
      <c r="C132" s="8"/>
      <c r="D132" s="8"/>
      <c r="E132" s="8"/>
      <c r="H132" s="8" t="s">
        <v>8</v>
      </c>
      <c r="I132" s="8"/>
      <c r="J132" s="8"/>
      <c r="K132" s="8"/>
    </row>
    <row r="133" spans="2:11" ht="15.75">
      <c r="B133" s="145" t="s">
        <v>254</v>
      </c>
      <c r="C133" s="11"/>
      <c r="D133" s="11"/>
      <c r="E133" s="11"/>
      <c r="H133" s="59" t="s">
        <v>255</v>
      </c>
      <c r="I133" s="11"/>
      <c r="J133" s="11"/>
      <c r="K133" s="11"/>
    </row>
    <row r="134" spans="2:11" ht="15.75">
      <c r="B134" s="136" t="s">
        <v>197</v>
      </c>
      <c r="D134" s="133">
        <v>0.75</v>
      </c>
      <c r="E134" s="11"/>
      <c r="H134" s="136" t="s">
        <v>198</v>
      </c>
      <c r="I134" s="133"/>
      <c r="J134" s="133">
        <v>2</v>
      </c>
      <c r="K134" s="11"/>
    </row>
    <row r="135" spans="2:11" ht="15.75">
      <c r="B135" s="59" t="s">
        <v>223</v>
      </c>
      <c r="D135" s="137">
        <f>1.3*D127*D128/(D130+D127/D134/D112/D21)*D134</f>
        <v>92.6620176146756</v>
      </c>
      <c r="E135" s="133" t="s">
        <v>26</v>
      </c>
      <c r="H135" s="59" t="s">
        <v>224</v>
      </c>
      <c r="J135" s="137">
        <f>1.3*D127*D128/(D130+J134*D127/D112/D21)/J134</f>
        <v>49.66199636864967</v>
      </c>
      <c r="K135" s="133" t="s">
        <v>26</v>
      </c>
    </row>
    <row r="136" spans="2:11" ht="15.75">
      <c r="B136" s="59" t="s">
        <v>253</v>
      </c>
      <c r="D136" s="137"/>
      <c r="E136" s="133"/>
      <c r="H136" s="59" t="s">
        <v>253</v>
      </c>
      <c r="J136" s="137"/>
      <c r="K136" s="133"/>
    </row>
    <row r="137" spans="2:11" ht="15.75">
      <c r="B137" s="1" t="s">
        <v>221</v>
      </c>
      <c r="D137" s="137">
        <f>+D135/D21/D128</f>
        <v>19.262195121951216</v>
      </c>
      <c r="E137" s="133" t="s">
        <v>183</v>
      </c>
      <c r="H137" s="1" t="s">
        <v>221</v>
      </c>
      <c r="J137" s="137">
        <f>+J135/D21/D128</f>
        <v>10.323529411764705</v>
      </c>
      <c r="K137" s="133" t="s">
        <v>183</v>
      </c>
    </row>
    <row r="138" spans="2:11" ht="15.75">
      <c r="B138" s="11" t="s">
        <v>225</v>
      </c>
      <c r="D138" s="60">
        <f>MIN(1.3*D127-D127/D134/C18*D137,D127)</f>
        <v>74.19512195121952</v>
      </c>
      <c r="E138" s="11" t="s">
        <v>183</v>
      </c>
      <c r="H138" s="11" t="s">
        <v>226</v>
      </c>
      <c r="I138" s="11"/>
      <c r="J138" s="60">
        <f>MIN(1.3*D127-J134*D127/D112*J137,D127)</f>
        <v>82.58823529411765</v>
      </c>
      <c r="K138" s="11" t="s">
        <v>183</v>
      </c>
    </row>
    <row r="139" spans="2:11" ht="15.75">
      <c r="B139" s="11" t="s">
        <v>222</v>
      </c>
      <c r="D139" s="146">
        <f>+D138/D127</f>
        <v>0.8243902439024391</v>
      </c>
      <c r="E139" s="11" t="str">
        <f>IF(D139&lt;=1,"&lt; 1 … OK","&gt; 1 .. NG")</f>
        <v>&lt; 1 … OK</v>
      </c>
      <c r="H139" s="11" t="s">
        <v>222</v>
      </c>
      <c r="I139" s="11"/>
      <c r="J139" s="146">
        <f>+J138/D127</f>
        <v>0.9176470588235295</v>
      </c>
      <c r="K139" s="11" t="str">
        <f>IF(J139&lt;=1,"&lt; 1 … OK","&gt; 1 .. NG")</f>
        <v>&lt; 1 … OK</v>
      </c>
    </row>
    <row r="140" spans="2:12" ht="12.75">
      <c r="B140" s="138" t="s">
        <v>208</v>
      </c>
      <c r="D140" s="139">
        <f>+D123</f>
        <v>1.4</v>
      </c>
      <c r="E140" s="139"/>
      <c r="F140" s="139"/>
      <c r="G140" s="139"/>
      <c r="H140" s="139" t="s">
        <v>208</v>
      </c>
      <c r="I140" s="139"/>
      <c r="J140" s="139">
        <f>+J123</f>
        <v>1</v>
      </c>
      <c r="K140" s="139"/>
      <c r="L140" s="139"/>
    </row>
    <row r="141" spans="2:12" ht="14.25">
      <c r="B141" s="140" t="s">
        <v>295</v>
      </c>
      <c r="C141" s="141"/>
      <c r="D141" s="142">
        <f>+D135/D140</f>
        <v>66.18715543905401</v>
      </c>
      <c r="E141" s="142" t="s">
        <v>35</v>
      </c>
      <c r="F141" s="142"/>
      <c r="G141" s="143"/>
      <c r="H141" s="140" t="s">
        <v>295</v>
      </c>
      <c r="I141" s="141"/>
      <c r="J141" s="142">
        <f>+J135/J140</f>
        <v>49.66199636864967</v>
      </c>
      <c r="K141" s="142" t="s">
        <v>35</v>
      </c>
      <c r="L141" s="142"/>
    </row>
    <row r="144" ht="12.75">
      <c r="G144" s="31"/>
    </row>
  </sheetData>
  <sheetProtection password="CADF" sheet="1"/>
  <conditionalFormatting sqref="D81">
    <cfRule type="cellIs" priority="1" dxfId="1" operator="between" stopIfTrue="1">
      <formula>-0.01</formula>
      <formula>0.01</formula>
    </cfRule>
    <cfRule type="cellIs" priority="2" dxfId="0" operator="notBetween" stopIfTrue="1">
      <formula>-0.01</formula>
      <formula>0.01</formula>
    </cfRule>
  </conditionalFormatting>
  <printOptions/>
  <pageMargins left="0.75" right="0.75" top="1" bottom="1" header="0.5" footer="0.5"/>
  <pageSetup horizontalDpi="300" verticalDpi="300" orientation="portrait" r:id="rId3"/>
  <legacyDrawing r:id="rId2"/>
  <oleObjects>
    <oleObject progId="AutoCAD.Drawing.17" shapeId="332155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Bart</cp:lastModifiedBy>
  <dcterms:created xsi:type="dcterms:W3CDTF">2006-08-18T18:21:21Z</dcterms:created>
  <dcterms:modified xsi:type="dcterms:W3CDTF">2011-07-10T01:21:20Z</dcterms:modified>
  <cp:category/>
  <cp:version/>
  <cp:contentType/>
  <cp:contentStatus/>
</cp:coreProperties>
</file>