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515" windowHeight="2325" activeTab="0"/>
  </bookViews>
  <sheets>
    <sheet name="Example 3.1" sheetId="1" r:id="rId1"/>
    <sheet name="Example 3.2" sheetId="2" r:id="rId2"/>
    <sheet name="Example 3.3" sheetId="3" r:id="rId3"/>
  </sheets>
  <definedNames/>
  <calcPr fullCalcOnLoad="1"/>
</workbook>
</file>

<file path=xl/sharedStrings.xml><?xml version="1.0" encoding="utf-8"?>
<sst xmlns="http://schemas.openxmlformats.org/spreadsheetml/2006/main" count="728" uniqueCount="172">
  <si>
    <t>A Beginners Guide to the Steel Construction Manual</t>
  </si>
  <si>
    <t>Given</t>
  </si>
  <si>
    <t>A tension member made of ASTM A36 Steel with the dimensions shown and is 3/4" thick.</t>
  </si>
  <si>
    <t>ksi (SCM Table 2-4, pg 2-40)</t>
  </si>
  <si>
    <t>in</t>
  </si>
  <si>
    <t>b =</t>
  </si>
  <si>
    <t>Wanted:</t>
  </si>
  <si>
    <t>Determine if this member is a feasible solution for the given loads.</t>
  </si>
  <si>
    <t>Solution:</t>
  </si>
  <si>
    <t>in^4</t>
  </si>
  <si>
    <t>in^2</t>
  </si>
  <si>
    <r>
      <t>I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</si>
  <si>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= </t>
    </r>
  </si>
  <si>
    <t xml:space="preserve">in </t>
  </si>
  <si>
    <t>L =</t>
  </si>
  <si>
    <t>ft</t>
  </si>
  <si>
    <t>(L/r)/300 =</t>
  </si>
  <si>
    <t>L/r =</t>
  </si>
  <si>
    <t>Loads:</t>
  </si>
  <si>
    <t>Dead</t>
  </si>
  <si>
    <t>Live</t>
  </si>
  <si>
    <t>kips</t>
  </si>
  <si>
    <t>Section Properties</t>
  </si>
  <si>
    <t>Tensile Yielding (Section D2)</t>
  </si>
  <si>
    <t>Slenderness (Section D1)</t>
  </si>
  <si>
    <r>
      <t>A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</t>
    </r>
  </si>
  <si>
    <t>ASCE 7 Load Combinations:</t>
  </si>
  <si>
    <t>LRFD LC2</t>
  </si>
  <si>
    <t>ASD LC2</t>
  </si>
  <si>
    <r>
      <t>P</t>
    </r>
    <r>
      <rPr>
        <vertAlign val="subscript"/>
        <sz val="10"/>
        <rFont val="Arial"/>
        <family val="2"/>
      </rPr>
      <t>u</t>
    </r>
  </si>
  <si>
    <r>
      <t>P</t>
    </r>
    <r>
      <rPr>
        <vertAlign val="subscript"/>
        <sz val="10"/>
        <rFont val="Arial"/>
        <family val="2"/>
      </rPr>
      <t>s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</si>
  <si>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</si>
  <si>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=</t>
    </r>
  </si>
  <si>
    <t>LRFD</t>
  </si>
  <si>
    <t>ASD</t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</si>
  <si>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</si>
  <si>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</si>
  <si>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</si>
  <si>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</si>
  <si>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</si>
  <si>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/ (P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)=</t>
    </r>
  </si>
  <si>
    <t>Net Area Determination</t>
  </si>
  <si>
    <r>
      <t>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</si>
  <si>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failure path #2</t>
  </si>
  <si>
    <t>failure path #3</t>
  </si>
  <si>
    <t>width segment 1</t>
  </si>
  <si>
    <t>s</t>
  </si>
  <si>
    <t>g</t>
  </si>
  <si>
    <t>width segment 2</t>
  </si>
  <si>
    <t>width segment 3</t>
  </si>
  <si>
    <t>width segment 4</t>
  </si>
  <si>
    <t>Total width</t>
  </si>
  <si>
    <t>tpl</t>
  </si>
  <si>
    <t>Area</t>
  </si>
  <si>
    <t>hole 1</t>
  </si>
  <si>
    <t>hole 2</t>
  </si>
  <si>
    <t>hole 3</t>
  </si>
  <si>
    <t>(in)</t>
  </si>
  <si>
    <r>
      <t>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</si>
  <si>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Net Area</t>
  </si>
  <si>
    <r>
      <t>in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</si>
  <si>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/4g</t>
    </r>
  </si>
  <si>
    <r>
      <t>Controlling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</si>
  <si>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</si>
  <si>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Tensile Rupture (Section D2)</t>
  </si>
  <si>
    <t>Block Shear (Section J4.3)</t>
  </si>
  <si>
    <t>Failure Path #1</t>
  </si>
  <si>
    <t># paths</t>
  </si>
  <si>
    <t>length</t>
  </si>
  <si>
    <t>holes/path</t>
  </si>
  <si>
    <t>number</t>
  </si>
  <si>
    <t>gross path</t>
  </si>
  <si>
    <t>net path</t>
  </si>
  <si>
    <t>(in^2)</t>
  </si>
  <si>
    <r>
      <t>t</t>
    </r>
    <r>
      <rPr>
        <vertAlign val="subscript"/>
        <sz val="10"/>
        <rFont val="Arial"/>
        <family val="2"/>
      </rPr>
      <t>pl</t>
    </r>
    <r>
      <rPr>
        <sz val="10"/>
        <rFont val="Arial"/>
        <family val="0"/>
      </rPr>
      <t xml:space="preserve"> =</t>
    </r>
  </si>
  <si>
    <t>Failure Path #2</t>
  </si>
  <si>
    <t>Shear</t>
  </si>
  <si>
    <t>Fracture</t>
  </si>
  <si>
    <t>Yield</t>
  </si>
  <si>
    <t>Use</t>
  </si>
  <si>
    <t>(k)</t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</si>
  <si>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</si>
  <si>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</si>
  <si>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k</t>
  </si>
  <si>
    <t>Bolt Bearing (J3.10)</t>
  </si>
  <si>
    <r>
      <t>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</si>
  <si>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</si>
  <si>
    <r>
      <t>Controlling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</si>
  <si>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Deformation at the bolt hole is not a design consideration</t>
  </si>
  <si>
    <t>Use Equation J3-6b</t>
  </si>
  <si>
    <t>Tear</t>
  </si>
  <si>
    <t>Out</t>
  </si>
  <si>
    <t>Bearing</t>
  </si>
  <si>
    <t>Deformation</t>
  </si>
  <si>
    <t>(k/bolt)</t>
  </si>
  <si>
    <t>num bolts =</t>
  </si>
  <si>
    <t>bolts/connection</t>
  </si>
  <si>
    <t>Results Summary:</t>
  </si>
  <si>
    <t>Computations follow</t>
  </si>
  <si>
    <t>Slenderness</t>
  </si>
  <si>
    <t>Tensile Yielding</t>
  </si>
  <si>
    <t>Tensile Rupture</t>
  </si>
  <si>
    <t>Block Shear</t>
  </si>
  <si>
    <t>Bolt Bearing</t>
  </si>
  <si>
    <t>Limit State</t>
  </si>
  <si>
    <t>Table of Result Ratios</t>
  </si>
  <si>
    <t>Member is adequate for LRFD.</t>
  </si>
  <si>
    <t>Member is inadequate for ASD.</t>
  </si>
  <si>
    <t>For ASD either thicken plate or space bolts wider</t>
  </si>
  <si>
    <t>For ASD need to increase cross sectional area</t>
  </si>
  <si>
    <r>
      <t>A</t>
    </r>
    <r>
      <rPr>
        <vertAlign val="subscript"/>
        <sz val="10"/>
        <rFont val="Arial"/>
        <family val="2"/>
      </rPr>
      <t>gv</t>
    </r>
  </si>
  <si>
    <r>
      <t>A</t>
    </r>
    <r>
      <rPr>
        <vertAlign val="subscript"/>
        <sz val="10"/>
        <rFont val="Arial"/>
        <family val="2"/>
      </rPr>
      <t>nv</t>
    </r>
  </si>
  <si>
    <r>
      <t>A</t>
    </r>
    <r>
      <rPr>
        <vertAlign val="subscript"/>
        <sz val="10"/>
        <rFont val="Arial"/>
        <family val="2"/>
      </rPr>
      <t>nt</t>
    </r>
  </si>
  <si>
    <r>
      <t>U</t>
    </r>
    <r>
      <rPr>
        <vertAlign val="subscript"/>
        <sz val="10"/>
        <rFont val="Arial"/>
        <family val="2"/>
      </rPr>
      <t>bs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</si>
  <si>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factor</t>
    </r>
  </si>
  <si>
    <t>Table of Capacities</t>
  </si>
  <si>
    <t>N/A</t>
  </si>
  <si>
    <t>kips =</t>
  </si>
  <si>
    <t>of total load</t>
  </si>
  <si>
    <t>LF</t>
  </si>
  <si>
    <t>% DL</t>
  </si>
  <si>
    <t>Comparison of LRFD Capacity to ASD Capacity</t>
  </si>
  <si>
    <t>A pair of bolted splice plates is used to connect two WT sections together in tension.</t>
  </si>
  <si>
    <t>See Sheet S3 of the drawing set.</t>
  </si>
  <si>
    <t>Determine the maximum force that the pair of splice plates can transfer between the WTs.</t>
  </si>
  <si>
    <t>of Total Service Load</t>
  </si>
  <si>
    <t>failure path #1</t>
  </si>
  <si>
    <r>
      <t xml:space="preserve">Controlling </t>
    </r>
    <r>
      <rPr>
        <sz val="10"/>
        <rFont val="Symbol"/>
        <family val="1"/>
      </rPr>
      <t>f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</si>
  <si>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s,equiv</t>
    </r>
  </si>
  <si>
    <t>Wind</t>
  </si>
  <si>
    <t>An experienced engineer would skip this section since the shear paths will be</t>
  </si>
  <si>
    <t>much larger than the tensile fracture paths, so block shear will not be an issue.</t>
  </si>
  <si>
    <t>The controlling load cases are LRFD LC4 and ASD LC5</t>
  </si>
  <si>
    <t>Composite load factor for LRFD: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</si>
  <si>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</si>
  <si>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Controlling Capacity</t>
  </si>
  <si>
    <t>(k/plate)</t>
  </si>
  <si>
    <t>U =</t>
  </si>
  <si>
    <r>
      <t>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=</t>
    </r>
  </si>
  <si>
    <r>
      <t>f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n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</si>
  <si>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</si>
  <si>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eqiv</t>
    </r>
  </si>
  <si>
    <t>(k/pair)</t>
  </si>
  <si>
    <t>Dead Load</t>
  </si>
  <si>
    <t>Live Load</t>
  </si>
  <si>
    <t>Answer</t>
  </si>
  <si>
    <t>The maximum force that can be transferred is highlighted above and</t>
  </si>
  <si>
    <t>depends on the method being used for analysis.</t>
  </si>
  <si>
    <r>
      <t>Max. allowed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</t>
    </r>
  </si>
  <si>
    <r>
      <t>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(See J4.1(b))</t>
    </r>
  </si>
  <si>
    <t>Two WT sections are connected together in tension.</t>
  </si>
  <si>
    <t>Unknown</t>
  </si>
  <si>
    <t>Max. L = 300r =</t>
  </si>
  <si>
    <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</si>
  <si>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t>Determine the maximum tension force that the WTs can support.</t>
  </si>
  <si>
    <t>Ag</t>
  </si>
  <si>
    <t>Stagger #1</t>
  </si>
  <si>
    <t>Stagger #2</t>
  </si>
  <si>
    <t>Case 7</t>
  </si>
  <si>
    <t>&lt;--- Controlling Limit State</t>
  </si>
  <si>
    <t>Note:  Find the section properties on SCM pg 1-54.</t>
  </si>
  <si>
    <t>ksi (SCM Table 2-3, pg 2-39)</t>
  </si>
  <si>
    <t>last modified:  11 Aug 2007</t>
  </si>
  <si>
    <t>by:  TBQ</t>
  </si>
  <si>
    <t>Example Problem 3.3</t>
  </si>
  <si>
    <t>Example Problem 3.1</t>
  </si>
  <si>
    <t>Example Problem 3.2</t>
  </si>
  <si>
    <r>
      <t>P</t>
    </r>
    <r>
      <rPr>
        <vertAlign val="subscript"/>
        <sz val="10"/>
        <rFont val="Arial"/>
        <family val="2"/>
      </rPr>
      <t>s,eq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</si>
  <si>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</si>
  <si>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/ (P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)=</t>
    </r>
  </si>
  <si>
    <r>
      <t>P</t>
    </r>
    <r>
      <rPr>
        <vertAlign val="subscript"/>
        <sz val="10"/>
        <rFont val="Arial"/>
        <family val="2"/>
      </rPr>
      <t>a</t>
    </r>
  </si>
  <si>
    <r>
      <t>Controlling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</si>
</sst>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00"/>
    <numFmt numFmtId="170" formatCode="0.000000"/>
    <numFmt numFmtId="171" formatCode="0.0%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.25"/>
      <color indexed="8"/>
      <name val="Arial"/>
      <family val="2"/>
    </font>
    <font>
      <sz val="2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2"/>
    </font>
    <font>
      <b/>
      <sz val="12"/>
      <color indexed="8"/>
      <name val="Arial"/>
      <family val="2"/>
    </font>
    <font>
      <sz val="8.6"/>
      <color indexed="8"/>
      <name val="Arial"/>
      <family val="2"/>
    </font>
    <font>
      <b/>
      <sz val="2.5"/>
      <color indexed="8"/>
      <name val="Arial"/>
      <family val="2"/>
    </font>
    <font>
      <b/>
      <sz val="3"/>
      <color indexed="8"/>
      <name val="Arial"/>
      <family val="2"/>
    </font>
    <font>
      <sz val="2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71" fontId="0" fillId="0" borderId="0" xfId="59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9" fillId="0" borderId="10" xfId="0" applyFont="1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6" fontId="0" fillId="0" borderId="12" xfId="0" applyNumberFormat="1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 horizontal="center"/>
      <protection hidden="1"/>
    </xf>
    <xf numFmtId="166" fontId="0" fillId="0" borderId="10" xfId="0" applyNumberFormat="1" applyFill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7" fontId="0" fillId="0" borderId="0" xfId="0" applyNumberFormat="1" applyAlignment="1" applyProtection="1">
      <alignment horizontal="center"/>
      <protection hidden="1"/>
    </xf>
    <xf numFmtId="167" fontId="0" fillId="0" borderId="11" xfId="0" applyNumberFormat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67" fontId="0" fillId="0" borderId="11" xfId="0" applyNumberFormat="1" applyFill="1" applyBorder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167" fontId="0" fillId="0" borderId="0" xfId="0" applyNumberFormat="1" applyFill="1" applyBorder="1" applyAlignment="1" applyProtection="1">
      <alignment horizontal="center"/>
      <protection hidden="1"/>
    </xf>
    <xf numFmtId="9" fontId="0" fillId="0" borderId="0" xfId="59" applyFont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locked="0"/>
    </xf>
    <xf numFmtId="166" fontId="0" fillId="33" borderId="12" xfId="0" applyNumberFormat="1" applyFill="1" applyBorder="1" applyAlignment="1" applyProtection="1">
      <alignment horizontal="center"/>
      <protection locked="0"/>
    </xf>
    <xf numFmtId="166" fontId="0" fillId="33" borderId="0" xfId="0" applyNumberFormat="1" applyFill="1" applyBorder="1" applyAlignment="1" applyProtection="1">
      <alignment horizontal="center"/>
      <protection locked="0"/>
    </xf>
    <xf numFmtId="166" fontId="0" fillId="33" borderId="1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167" fontId="0" fillId="0" borderId="15" xfId="0" applyNumberFormat="1" applyBorder="1" applyAlignment="1" applyProtection="1">
      <alignment horizontal="center"/>
      <protection hidden="1"/>
    </xf>
    <xf numFmtId="167" fontId="0" fillId="0" borderId="16" xfId="0" applyNumberFormat="1" applyBorder="1" applyAlignment="1" applyProtection="1">
      <alignment horizontal="center"/>
      <protection hidden="1"/>
    </xf>
    <xf numFmtId="167" fontId="1" fillId="0" borderId="15" xfId="0" applyNumberFormat="1" applyFont="1" applyBorder="1" applyAlignment="1" applyProtection="1">
      <alignment horizontal="center"/>
      <protection hidden="1"/>
    </xf>
    <xf numFmtId="167" fontId="1" fillId="0" borderId="0" xfId="0" applyNumberFormat="1" applyFont="1" applyBorder="1" applyAlignment="1" applyProtection="1">
      <alignment horizontal="center"/>
      <protection hidden="1"/>
    </xf>
    <xf numFmtId="167" fontId="1" fillId="0" borderId="16" xfId="0" applyNumberFormat="1" applyFont="1" applyBorder="1" applyAlignment="1" applyProtection="1">
      <alignment horizontal="center"/>
      <protection hidden="1"/>
    </xf>
    <xf numFmtId="167" fontId="0" fillId="0" borderId="19" xfId="0" applyNumberFormat="1" applyBorder="1" applyAlignment="1" applyProtection="1">
      <alignment horizontal="center"/>
      <protection hidden="1"/>
    </xf>
    <xf numFmtId="167" fontId="0" fillId="0" borderId="10" xfId="0" applyNumberFormat="1" applyBorder="1" applyAlignment="1" applyProtection="1">
      <alignment horizontal="center"/>
      <protection hidden="1"/>
    </xf>
    <xf numFmtId="167" fontId="0" fillId="0" borderId="20" xfId="0" applyNumberFormat="1" applyBorder="1" applyAlignment="1" applyProtection="1">
      <alignment horizontal="center"/>
      <protection hidden="1"/>
    </xf>
    <xf numFmtId="167" fontId="1" fillId="34" borderId="20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167" fontId="0" fillId="0" borderId="13" xfId="0" applyNumberFormat="1" applyBorder="1" applyAlignment="1" applyProtection="1">
      <alignment horizontal="center"/>
      <protection hidden="1"/>
    </xf>
    <xf numFmtId="167" fontId="0" fillId="0" borderId="12" xfId="0" applyNumberFormat="1" applyBorder="1" applyAlignment="1" applyProtection="1">
      <alignment horizontal="center"/>
      <protection hidden="1"/>
    </xf>
    <xf numFmtId="167" fontId="1" fillId="34" borderId="14" xfId="0" applyNumberFormat="1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167" fontId="0" fillId="34" borderId="0" xfId="0" applyNumberForma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6" fontId="0" fillId="33" borderId="0" xfId="0" applyNumberFormat="1" applyFill="1" applyAlignment="1" applyProtection="1">
      <alignment/>
      <protection locked="0"/>
    </xf>
    <xf numFmtId="171" fontId="0" fillId="33" borderId="0" xfId="59" applyNumberFormat="1" applyFont="1" applyFill="1" applyAlignment="1" applyProtection="1">
      <alignment/>
      <protection locked="0"/>
    </xf>
    <xf numFmtId="166" fontId="0" fillId="33" borderId="0" xfId="0" applyNumberFormat="1" applyFill="1" applyAlignment="1" applyProtection="1">
      <alignment horizontal="center"/>
      <protection locked="0"/>
    </xf>
    <xf numFmtId="167" fontId="0" fillId="33" borderId="0" xfId="0" applyNumberForma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167" fontId="0" fillId="0" borderId="22" xfId="0" applyNumberFormat="1" applyBorder="1" applyAlignment="1" applyProtection="1">
      <alignment horizontal="center"/>
      <protection hidden="1"/>
    </xf>
    <xf numFmtId="167" fontId="1" fillId="0" borderId="22" xfId="0" applyNumberFormat="1" applyFont="1" applyBorder="1" applyAlignment="1" applyProtection="1">
      <alignment horizontal="center"/>
      <protection hidden="1"/>
    </xf>
    <xf numFmtId="167" fontId="0" fillId="0" borderId="24" xfId="0" applyNumberFormat="1" applyBorder="1" applyAlignment="1" applyProtection="1">
      <alignment horizontal="center"/>
      <protection hidden="1"/>
    </xf>
    <xf numFmtId="167" fontId="1" fillId="34" borderId="23" xfId="0" applyNumberFormat="1" applyFont="1" applyFill="1" applyBorder="1" applyAlignment="1" applyProtection="1">
      <alignment horizontal="center"/>
      <protection hidden="1"/>
    </xf>
    <xf numFmtId="167" fontId="1" fillId="34" borderId="24" xfId="0" applyNumberFormat="1" applyFont="1" applyFill="1" applyBorder="1" applyAlignment="1" applyProtection="1">
      <alignment horizontal="center"/>
      <protection hidden="1"/>
    </xf>
    <xf numFmtId="167" fontId="1" fillId="34" borderId="21" xfId="0" applyNumberFormat="1" applyFont="1" applyFill="1" applyBorder="1" applyAlignment="1" applyProtection="1">
      <alignment horizontal="center"/>
      <protection hidden="1"/>
    </xf>
    <xf numFmtId="0" fontId="1" fillId="34" borderId="23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1" fontId="0" fillId="0" borderId="16" xfId="0" applyNumberForma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Level Capacity</a:t>
            </a:r>
          </a:p>
        </c:rich>
      </c:tx>
      <c:layout>
        <c:manualLayout>
          <c:xMode val="factor"/>
          <c:yMode val="factor"/>
          <c:x val="0.002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825"/>
          <c:w val="0.697"/>
          <c:h val="0.6895"/>
        </c:manualLayout>
      </c:layout>
      <c:scatterChart>
        <c:scatterStyle val="lineMarker"/>
        <c:varyColors val="0"/>
        <c:ser>
          <c:idx val="0"/>
          <c:order val="0"/>
          <c:tx>
            <c:v>LRFD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/>
            </c:numRef>
          </c:xVal>
          <c:yVal>
            <c:numRef>
              <c:f>'Example 3.1'!$D$190:$D$194</c:f>
              <c:numCache/>
            </c:numRef>
          </c:yVal>
          <c:smooth val="0"/>
        </c:ser>
        <c:ser>
          <c:idx val="1"/>
          <c:order val="1"/>
          <c:tx>
            <c:v>ASD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/>
            </c:numRef>
          </c:xVal>
          <c:yVal>
            <c:numRef>
              <c:f>'Example 3.1'!$F$190:$F$194</c:f>
              <c:numCache/>
            </c:numRef>
          </c:yVal>
          <c:smooth val="0"/>
        </c:ser>
        <c:axId val="37806284"/>
        <c:axId val="4712237"/>
      </c:scatterChart>
      <c:valAx>
        <c:axId val="3780628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Load that is Dead Load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237"/>
        <c:crosses val="autoZero"/>
        <c:crossBetween val="midCat"/>
        <c:dispUnits/>
      </c:valAx>
      <c:valAx>
        <c:axId val="4712237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Level Capacity (k)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6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4065"/>
          <c:w val="0.16"/>
          <c:h val="0.158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Level Capacity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LRFD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3.1'!$D$190:$D$194</c:f>
              <c:numCache>
                <c:ptCount val="5"/>
                <c:pt idx="0">
                  <c:v>147.91552734375</c:v>
                </c:pt>
                <c:pt idx="1">
                  <c:v>157.77677688867388</c:v>
                </c:pt>
                <c:pt idx="2">
                  <c:v>169.04631696428572</c:v>
                </c:pt>
                <c:pt idx="3">
                  <c:v>182.04987980769232</c:v>
                </c:pt>
                <c:pt idx="4">
                  <c:v>197.22070312499997</c:v>
                </c:pt>
              </c:numCache>
            </c:numRef>
          </c:yVal>
          <c:smooth val="0"/>
        </c:ser>
        <c:ser>
          <c:idx val="1"/>
          <c:order val="1"/>
          <c:tx>
            <c:v>ASD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3.1'!$F$190:$F$194</c:f>
              <c:numCache>
                <c:ptCount val="5"/>
                <c:pt idx="0">
                  <c:v>157.7765625</c:v>
                </c:pt>
                <c:pt idx="1">
                  <c:v>157.7765625</c:v>
                </c:pt>
                <c:pt idx="2">
                  <c:v>157.7765625</c:v>
                </c:pt>
                <c:pt idx="3">
                  <c:v>157.7765625</c:v>
                </c:pt>
                <c:pt idx="4">
                  <c:v>157.7765625</c:v>
                </c:pt>
              </c:numCache>
            </c:numRef>
          </c:yVal>
          <c:smooth val="0"/>
        </c:ser>
        <c:axId val="42410134"/>
        <c:axId val="46146887"/>
      </c:scatterChart>
      <c:valAx>
        <c:axId val="4241013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Load that is Dead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6887"/>
        <c:crosses val="autoZero"/>
        <c:crossBetween val="midCat"/>
        <c:dispUnits/>
      </c:valAx>
      <c:valAx>
        <c:axId val="46146887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Level Capacity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10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Level Capacity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LRFD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3.1'!$D$190:$D$194</c:f>
              <c:numCache>
                <c:ptCount val="5"/>
                <c:pt idx="0">
                  <c:v>147.91552734375</c:v>
                </c:pt>
                <c:pt idx="1">
                  <c:v>157.77677688867388</c:v>
                </c:pt>
                <c:pt idx="2">
                  <c:v>169.04631696428572</c:v>
                </c:pt>
                <c:pt idx="3">
                  <c:v>182.04987980769232</c:v>
                </c:pt>
                <c:pt idx="4">
                  <c:v>197.22070312499997</c:v>
                </c:pt>
              </c:numCache>
            </c:numRef>
          </c:yVal>
          <c:smooth val="0"/>
        </c:ser>
        <c:ser>
          <c:idx val="1"/>
          <c:order val="1"/>
          <c:tx>
            <c:v>ASD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3.1'!$F$190:$F$194</c:f>
              <c:numCache>
                <c:ptCount val="5"/>
                <c:pt idx="0">
                  <c:v>157.7765625</c:v>
                </c:pt>
                <c:pt idx="1">
                  <c:v>157.7765625</c:v>
                </c:pt>
                <c:pt idx="2">
                  <c:v>157.7765625</c:v>
                </c:pt>
                <c:pt idx="3">
                  <c:v>157.7765625</c:v>
                </c:pt>
                <c:pt idx="4">
                  <c:v>157.7765625</c:v>
                </c:pt>
              </c:numCache>
            </c:numRef>
          </c:yVal>
          <c:smooth val="0"/>
        </c:ser>
        <c:axId val="12668800"/>
        <c:axId val="46910337"/>
      </c:scatterChart>
      <c:valAx>
        <c:axId val="1266880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Load that is Dead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10337"/>
        <c:crosses val="autoZero"/>
        <c:crossBetween val="midCat"/>
        <c:dispUnits/>
      </c:valAx>
      <c:valAx>
        <c:axId val="46910337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Level Capacity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88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195</xdr:row>
      <xdr:rowOff>47625</xdr:rowOff>
    </xdr:from>
    <xdr:to>
      <xdr:col>7</xdr:col>
      <xdr:colOff>523875</xdr:colOff>
      <xdr:row>212</xdr:row>
      <xdr:rowOff>28575</xdr:rowOff>
    </xdr:to>
    <xdr:graphicFrame>
      <xdr:nvGraphicFramePr>
        <xdr:cNvPr id="1" name="Chart 2"/>
        <xdr:cNvGraphicFramePr/>
      </xdr:nvGraphicFramePr>
      <xdr:xfrm>
        <a:off x="238125" y="33413700"/>
        <a:ext cx="4552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170</xdr:row>
      <xdr:rowOff>0</xdr:rowOff>
    </xdr:from>
    <xdr:to>
      <xdr:col>12</xdr:col>
      <xdr:colOff>514350</xdr:colOff>
      <xdr:row>170</xdr:row>
      <xdr:rowOff>0</xdr:rowOff>
    </xdr:to>
    <xdr:graphicFrame>
      <xdr:nvGraphicFramePr>
        <xdr:cNvPr id="1" name="Chart 3"/>
        <xdr:cNvGraphicFramePr/>
      </xdr:nvGraphicFramePr>
      <xdr:xfrm>
        <a:off x="3371850" y="2912745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157</xdr:row>
      <xdr:rowOff>0</xdr:rowOff>
    </xdr:from>
    <xdr:to>
      <xdr:col>7</xdr:col>
      <xdr:colOff>514350</xdr:colOff>
      <xdr:row>157</xdr:row>
      <xdr:rowOff>0</xdr:rowOff>
    </xdr:to>
    <xdr:graphicFrame>
      <xdr:nvGraphicFramePr>
        <xdr:cNvPr id="1" name="Chart 1"/>
        <xdr:cNvGraphicFramePr/>
      </xdr:nvGraphicFramePr>
      <xdr:xfrm>
        <a:off x="323850" y="26908125"/>
        <a:ext cx="4457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7" width="9.140625" style="1" customWidth="1"/>
    <col min="8" max="8" width="10.57421875" style="1" bestFit="1" customWidth="1"/>
    <col min="9" max="16384" width="9.140625" style="1" customWidth="1"/>
  </cols>
  <sheetData>
    <row r="1" spans="1:8" ht="12.75">
      <c r="A1" s="1" t="s">
        <v>0</v>
      </c>
      <c r="H1" s="1" t="s">
        <v>162</v>
      </c>
    </row>
    <row r="2" spans="1:8" ht="12.75">
      <c r="A2" s="2" t="s">
        <v>165</v>
      </c>
      <c r="H2" s="1" t="s">
        <v>163</v>
      </c>
    </row>
    <row r="4" spans="1:2" ht="12.75">
      <c r="A4" s="2" t="s">
        <v>1</v>
      </c>
      <c r="B4" s="1" t="s">
        <v>2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spans="2:4" ht="15.75">
      <c r="B14" s="1" t="s">
        <v>32</v>
      </c>
      <c r="C14" s="36">
        <v>36</v>
      </c>
      <c r="D14" s="1" t="s">
        <v>3</v>
      </c>
    </row>
    <row r="15" spans="2:4" ht="15.75">
      <c r="B15" s="1" t="s">
        <v>63</v>
      </c>
      <c r="C15" s="36">
        <v>58</v>
      </c>
      <c r="D15" s="1" t="s">
        <v>3</v>
      </c>
    </row>
    <row r="16" spans="2:4" ht="12.75">
      <c r="B16" s="1" t="s">
        <v>14</v>
      </c>
      <c r="C16" s="36">
        <v>5</v>
      </c>
      <c r="D16" s="1" t="s">
        <v>15</v>
      </c>
    </row>
    <row r="17" spans="2:10" ht="12.75">
      <c r="B17" s="1" t="s">
        <v>5</v>
      </c>
      <c r="C17" s="36">
        <v>10</v>
      </c>
      <c r="D17" s="1" t="s">
        <v>4</v>
      </c>
      <c r="E17" s="1" t="s">
        <v>18</v>
      </c>
      <c r="F17" s="1" t="s">
        <v>19</v>
      </c>
      <c r="G17" s="36">
        <v>140</v>
      </c>
      <c r="H17" s="1" t="s">
        <v>117</v>
      </c>
      <c r="I17" s="3">
        <f>+G17/(G17+G18)</f>
        <v>0.8235294117647058</v>
      </c>
      <c r="J17" s="1" t="s">
        <v>118</v>
      </c>
    </row>
    <row r="18" spans="2:10" ht="15.75">
      <c r="B18" s="1" t="s">
        <v>74</v>
      </c>
      <c r="C18" s="36">
        <v>0.75</v>
      </c>
      <c r="D18" s="1" t="s">
        <v>4</v>
      </c>
      <c r="F18" s="1" t="s">
        <v>20</v>
      </c>
      <c r="G18" s="36">
        <v>30</v>
      </c>
      <c r="H18" s="1" t="s">
        <v>117</v>
      </c>
      <c r="I18" s="3">
        <f>+G18/(G18+G17)</f>
        <v>0.17647058823529413</v>
      </c>
      <c r="J18" s="1" t="s">
        <v>118</v>
      </c>
    </row>
    <row r="19" spans="2:4" ht="15.75">
      <c r="B19" s="1" t="s">
        <v>42</v>
      </c>
      <c r="C19" s="36">
        <v>0.75</v>
      </c>
      <c r="D19" s="1" t="s">
        <v>4</v>
      </c>
    </row>
    <row r="21" spans="1:2" ht="12.75">
      <c r="A21" s="2" t="s">
        <v>6</v>
      </c>
      <c r="B21" s="1" t="s">
        <v>7</v>
      </c>
    </row>
    <row r="23" ht="12.75">
      <c r="A23" s="2" t="s">
        <v>8</v>
      </c>
    </row>
    <row r="24" ht="12.75">
      <c r="A24" s="4"/>
    </row>
    <row r="25" spans="1:3" ht="12.75">
      <c r="A25" s="5" t="s">
        <v>97</v>
      </c>
      <c r="B25" s="6"/>
      <c r="C25" s="1" t="s">
        <v>98</v>
      </c>
    </row>
    <row r="26" ht="12.75">
      <c r="A26" s="4"/>
    </row>
    <row r="27" spans="1:3" ht="12.75">
      <c r="A27" s="4"/>
      <c r="C27" s="2" t="s">
        <v>105</v>
      </c>
    </row>
    <row r="28" spans="1:5" ht="12.75">
      <c r="A28" s="4"/>
      <c r="B28" s="6" t="s">
        <v>104</v>
      </c>
      <c r="C28" s="6"/>
      <c r="D28" s="7" t="s">
        <v>33</v>
      </c>
      <c r="E28" s="7" t="s">
        <v>34</v>
      </c>
    </row>
    <row r="29" spans="1:5" ht="12.75">
      <c r="A29" s="4"/>
      <c r="B29" s="1" t="s">
        <v>99</v>
      </c>
      <c r="D29" s="8">
        <f>+D58</f>
        <v>0.9237604307034013</v>
      </c>
      <c r="E29" s="8">
        <f>+D58</f>
        <v>0.9237604307034013</v>
      </c>
    </row>
    <row r="30" spans="1:6" ht="12.75">
      <c r="A30" s="4"/>
      <c r="B30" s="1" t="s">
        <v>100</v>
      </c>
      <c r="D30" s="8">
        <f>+B67</f>
        <v>0.8888888888888888</v>
      </c>
      <c r="E30" s="8">
        <f>+H67</f>
        <v>1.0514814814814815</v>
      </c>
      <c r="F30" s="1" t="s">
        <v>109</v>
      </c>
    </row>
    <row r="31" spans="1:5" ht="12.75">
      <c r="A31" s="4"/>
      <c r="B31" s="1" t="s">
        <v>101</v>
      </c>
      <c r="D31" s="8">
        <f>+B112</f>
        <v>0.8025078369905956</v>
      </c>
      <c r="E31" s="8">
        <f>+H112</f>
        <v>0.9474050853361198</v>
      </c>
    </row>
    <row r="32" spans="1:6" ht="12.75">
      <c r="A32" s="4"/>
      <c r="B32" s="1" t="s">
        <v>102</v>
      </c>
      <c r="D32" s="8">
        <f>+B161</f>
        <v>0.9126830862473632</v>
      </c>
      <c r="E32" s="8">
        <f>+H161</f>
        <v>1.077473087930915</v>
      </c>
      <c r="F32" s="1" t="s">
        <v>108</v>
      </c>
    </row>
    <row r="33" spans="1:5" ht="12.75">
      <c r="A33" s="4"/>
      <c r="B33" s="1" t="s">
        <v>103</v>
      </c>
      <c r="D33" s="8">
        <f>+B179</f>
        <v>0.3776507468191038</v>
      </c>
      <c r="E33" s="8">
        <f>+H179</f>
        <v>0.44583768721699757</v>
      </c>
    </row>
    <row r="34" ht="12.75">
      <c r="A34" s="4"/>
    </row>
    <row r="35" spans="1:2" ht="12.75">
      <c r="A35" s="4"/>
      <c r="B35" s="1" t="s">
        <v>106</v>
      </c>
    </row>
    <row r="36" spans="1:2" ht="12.75">
      <c r="A36" s="4"/>
      <c r="B36" s="1" t="s">
        <v>107</v>
      </c>
    </row>
    <row r="37" ht="12.75">
      <c r="A37" s="4"/>
    </row>
    <row r="38" spans="1:3" ht="12.75">
      <c r="A38" s="4"/>
      <c r="C38" s="2" t="s">
        <v>115</v>
      </c>
    </row>
    <row r="39" spans="1:5" ht="15.75">
      <c r="A39" s="4"/>
      <c r="B39" s="9" t="s">
        <v>104</v>
      </c>
      <c r="D39" s="10" t="s">
        <v>29</v>
      </c>
      <c r="E39" s="10" t="s">
        <v>170</v>
      </c>
    </row>
    <row r="40" spans="1:5" ht="12.75">
      <c r="A40" s="4"/>
      <c r="B40" s="11"/>
      <c r="C40" s="11"/>
      <c r="D40" s="12" t="s">
        <v>80</v>
      </c>
      <c r="E40" s="12" t="s">
        <v>80</v>
      </c>
    </row>
    <row r="41" spans="1:5" ht="12.75">
      <c r="A41" s="4"/>
      <c r="B41" s="1" t="s">
        <v>99</v>
      </c>
      <c r="D41" s="10" t="s">
        <v>116</v>
      </c>
      <c r="E41" s="10" t="s">
        <v>116</v>
      </c>
    </row>
    <row r="42" spans="1:5" ht="12.75">
      <c r="A42" s="4"/>
      <c r="B42" s="1" t="s">
        <v>100</v>
      </c>
      <c r="D42" s="13">
        <f>+B66</f>
        <v>243</v>
      </c>
      <c r="E42" s="13">
        <f>+H66</f>
        <v>161.67664670658684</v>
      </c>
    </row>
    <row r="43" spans="1:5" ht="12.75">
      <c r="A43" s="4"/>
      <c r="B43" s="1" t="s">
        <v>101</v>
      </c>
      <c r="D43" s="13">
        <f>+B111</f>
        <v>269.15625</v>
      </c>
      <c r="E43" s="13">
        <f>+H111</f>
        <v>179.4375</v>
      </c>
    </row>
    <row r="44" spans="1:5" ht="12.75">
      <c r="A44" s="4"/>
      <c r="B44" s="1" t="s">
        <v>102</v>
      </c>
      <c r="D44" s="13">
        <f>+B160</f>
        <v>236.66484375000002</v>
      </c>
      <c r="E44" s="13">
        <f>+H160</f>
        <v>157.7765625</v>
      </c>
    </row>
    <row r="45" spans="1:5" ht="12.75">
      <c r="A45" s="4"/>
      <c r="B45" s="1" t="s">
        <v>103</v>
      </c>
      <c r="D45" s="13">
        <f>+B178</f>
        <v>571.95703125</v>
      </c>
      <c r="E45" s="13">
        <f>+H178</f>
        <v>381.3046875</v>
      </c>
    </row>
    <row r="46" ht="12.75">
      <c r="A46" s="4"/>
    </row>
    <row r="47" ht="12.75">
      <c r="A47" s="4"/>
    </row>
    <row r="48" spans="1:3" ht="12.75">
      <c r="A48" s="14" t="s">
        <v>26</v>
      </c>
      <c r="B48" s="6"/>
      <c r="C48" s="6"/>
    </row>
    <row r="49" spans="1:8" ht="15.75">
      <c r="A49" s="4"/>
      <c r="C49" s="7" t="s">
        <v>29</v>
      </c>
      <c r="D49" s="6"/>
      <c r="G49" s="7" t="s">
        <v>30</v>
      </c>
      <c r="H49" s="6"/>
    </row>
    <row r="50" spans="1:8" ht="12.75">
      <c r="A50" s="4"/>
      <c r="B50" s="1" t="s">
        <v>27</v>
      </c>
      <c r="C50" s="10">
        <f>1.2*G17+1.6*G18</f>
        <v>216</v>
      </c>
      <c r="D50" s="1" t="s">
        <v>21</v>
      </c>
      <c r="F50" s="1" t="s">
        <v>28</v>
      </c>
      <c r="G50" s="10">
        <f>+G17+G18</f>
        <v>170</v>
      </c>
      <c r="H50" s="1" t="s">
        <v>21</v>
      </c>
    </row>
    <row r="51" spans="1:7" ht="12.75">
      <c r="A51" s="4"/>
      <c r="G51" s="10"/>
    </row>
    <row r="52" spans="1:5" ht="15.75">
      <c r="A52" s="14" t="s">
        <v>22</v>
      </c>
      <c r="B52" s="6"/>
      <c r="C52" s="1" t="s">
        <v>11</v>
      </c>
      <c r="D52" s="15">
        <f>+C17*(C18^3)/12</f>
        <v>0.3515625</v>
      </c>
      <c r="E52" s="1" t="s">
        <v>9</v>
      </c>
    </row>
    <row r="53" spans="1:5" ht="15.75">
      <c r="A53" s="4"/>
      <c r="C53" s="1" t="s">
        <v>25</v>
      </c>
      <c r="D53" s="1">
        <f>+C17*C18</f>
        <v>7.5</v>
      </c>
      <c r="E53" s="1" t="s">
        <v>10</v>
      </c>
    </row>
    <row r="54" spans="1:5" ht="15.75">
      <c r="A54" s="4"/>
      <c r="C54" s="1" t="s">
        <v>12</v>
      </c>
      <c r="D54" s="15">
        <f>SQRT(D52/D53)</f>
        <v>0.21650635094610965</v>
      </c>
      <c r="E54" s="1" t="s">
        <v>13</v>
      </c>
    </row>
    <row r="55" ht="12.75">
      <c r="A55" s="4"/>
    </row>
    <row r="56" spans="1:3" ht="12.75">
      <c r="A56" s="14" t="s">
        <v>24</v>
      </c>
      <c r="B56" s="6"/>
      <c r="C56" s="6"/>
    </row>
    <row r="57" spans="3:4" ht="12.75">
      <c r="C57" s="1" t="s">
        <v>17</v>
      </c>
      <c r="D57" s="16">
        <f>+C16*12/D54</f>
        <v>277.1281292110204</v>
      </c>
    </row>
    <row r="58" spans="3:5" ht="12.75">
      <c r="C58" s="1" t="s">
        <v>16</v>
      </c>
      <c r="D58" s="15">
        <f>+D57/300</f>
        <v>0.9237604307034013</v>
      </c>
      <c r="E58" s="1" t="str">
        <f>IF(D58&lt;=1,"Limit State Statisfied","No Good")</f>
        <v>Limit State Statisfied</v>
      </c>
    </row>
    <row r="60" spans="1:3" ht="12.75">
      <c r="A60" s="14" t="s">
        <v>23</v>
      </c>
      <c r="B60" s="6"/>
      <c r="C60" s="6"/>
    </row>
    <row r="62" spans="2:4" ht="15.75">
      <c r="B62" s="1" t="s">
        <v>31</v>
      </c>
      <c r="C62" s="1">
        <f>+C14*D53</f>
        <v>270</v>
      </c>
      <c r="D62" s="1" t="s">
        <v>21</v>
      </c>
    </row>
    <row r="63" spans="10:11" ht="12.75">
      <c r="J63" s="9"/>
      <c r="K63" s="9"/>
    </row>
    <row r="64" spans="1:11" ht="12.75">
      <c r="A64" s="6" t="s">
        <v>33</v>
      </c>
      <c r="B64" s="6"/>
      <c r="C64" s="6"/>
      <c r="D64" s="6"/>
      <c r="F64" s="6" t="s">
        <v>34</v>
      </c>
      <c r="G64" s="6"/>
      <c r="H64" s="6"/>
      <c r="I64" s="6"/>
      <c r="J64" s="9"/>
      <c r="K64" s="9"/>
    </row>
    <row r="65" spans="1:11" ht="15.75">
      <c r="A65" s="17" t="s">
        <v>35</v>
      </c>
      <c r="B65" s="1">
        <v>0.9</v>
      </c>
      <c r="F65" s="17" t="s">
        <v>36</v>
      </c>
      <c r="H65" s="1">
        <v>1.67</v>
      </c>
      <c r="J65" s="9"/>
      <c r="K65" s="9"/>
    </row>
    <row r="66" spans="1:11" ht="15.75">
      <c r="A66" s="17" t="s">
        <v>37</v>
      </c>
      <c r="B66" s="16">
        <f>+B65*C62</f>
        <v>243</v>
      </c>
      <c r="C66" s="1" t="s">
        <v>21</v>
      </c>
      <c r="F66" s="1" t="s">
        <v>38</v>
      </c>
      <c r="H66" s="16">
        <f>+C62/H65</f>
        <v>161.67664670658684</v>
      </c>
      <c r="I66" s="1" t="s">
        <v>21</v>
      </c>
      <c r="J66" s="9"/>
      <c r="K66" s="9"/>
    </row>
    <row r="67" spans="1:11" ht="15.75">
      <c r="A67" s="1" t="s">
        <v>39</v>
      </c>
      <c r="B67" s="15">
        <f>+C50/B66</f>
        <v>0.8888888888888888</v>
      </c>
      <c r="C67" s="1" t="str">
        <f>IF(B67&lt;=1,"Limit State Statisfied","No Good")</f>
        <v>Limit State Statisfied</v>
      </c>
      <c r="F67" s="1" t="s">
        <v>169</v>
      </c>
      <c r="H67" s="15">
        <f>+G50/H66</f>
        <v>1.0514814814814815</v>
      </c>
      <c r="I67" s="1" t="str">
        <f>IF(H67&lt;=1,"Limit State Statisfied","No Good")</f>
        <v>No Good</v>
      </c>
      <c r="J67" s="9"/>
      <c r="K67" s="9"/>
    </row>
    <row r="68" spans="10:11" ht="12.75">
      <c r="J68" s="9"/>
      <c r="K68" s="9"/>
    </row>
    <row r="69" spans="1:3" ht="12.75">
      <c r="A69" s="14" t="s">
        <v>64</v>
      </c>
      <c r="B69" s="6"/>
      <c r="C69" s="6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>
      <c r="B79" s="1" t="s">
        <v>41</v>
      </c>
    </row>
    <row r="80" ht="12.75"/>
    <row r="81" ht="12.75">
      <c r="C81" s="1" t="s">
        <v>43</v>
      </c>
    </row>
    <row r="82" spans="5:10" ht="14.25">
      <c r="E82" s="10" t="s">
        <v>46</v>
      </c>
      <c r="F82" s="10" t="s">
        <v>47</v>
      </c>
      <c r="G82" s="10" t="s">
        <v>61</v>
      </c>
      <c r="H82" s="10" t="s">
        <v>51</v>
      </c>
      <c r="I82" s="10" t="s">
        <v>52</v>
      </c>
      <c r="J82" s="10" t="s">
        <v>53</v>
      </c>
    </row>
    <row r="83" spans="5:10" ht="14.25">
      <c r="E83" s="12" t="s">
        <v>57</v>
      </c>
      <c r="F83" s="12" t="s">
        <v>57</v>
      </c>
      <c r="G83" s="12"/>
      <c r="H83" s="12" t="s">
        <v>57</v>
      </c>
      <c r="I83" s="12" t="s">
        <v>57</v>
      </c>
      <c r="J83" s="12" t="s">
        <v>58</v>
      </c>
    </row>
    <row r="84" spans="3:10" ht="12.75">
      <c r="C84" s="1" t="s">
        <v>45</v>
      </c>
      <c r="E84" s="37">
        <v>0</v>
      </c>
      <c r="F84" s="37">
        <v>2</v>
      </c>
      <c r="G84" s="18">
        <f>+(E84^2)/4/F84</f>
        <v>0</v>
      </c>
      <c r="H84" s="18">
        <f>+F84+G84</f>
        <v>2</v>
      </c>
      <c r="I84" s="18">
        <f>+C18</f>
        <v>0.75</v>
      </c>
      <c r="J84" s="18">
        <f>+H84*I84</f>
        <v>1.5</v>
      </c>
    </row>
    <row r="85" spans="3:10" ht="12.75">
      <c r="C85" s="1" t="s">
        <v>48</v>
      </c>
      <c r="E85" s="38">
        <v>0</v>
      </c>
      <c r="F85" s="38">
        <v>6</v>
      </c>
      <c r="G85" s="19">
        <f>+(E85^2)/4/F85</f>
        <v>0</v>
      </c>
      <c r="H85" s="19">
        <f>+F85+G85</f>
        <v>6</v>
      </c>
      <c r="I85" s="19">
        <f>+I84</f>
        <v>0.75</v>
      </c>
      <c r="J85" s="19">
        <f>+H85*I85</f>
        <v>4.5</v>
      </c>
    </row>
    <row r="86" spans="3:10" ht="12.75">
      <c r="C86" s="1" t="s">
        <v>49</v>
      </c>
      <c r="E86" s="38">
        <v>0</v>
      </c>
      <c r="F86" s="38">
        <v>2</v>
      </c>
      <c r="G86" s="19">
        <f>+(E86^2)/4/F86</f>
        <v>0</v>
      </c>
      <c r="H86" s="19">
        <f>+F86+G86</f>
        <v>2</v>
      </c>
      <c r="I86" s="19">
        <f>+I85</f>
        <v>0.75</v>
      </c>
      <c r="J86" s="19">
        <f>+H86*I86</f>
        <v>1.5</v>
      </c>
    </row>
    <row r="87" spans="3:10" ht="12.75">
      <c r="C87" s="1" t="s">
        <v>54</v>
      </c>
      <c r="E87" s="20"/>
      <c r="F87" s="20"/>
      <c r="G87" s="21"/>
      <c r="H87" s="19">
        <f>-(0.125+C19)</f>
        <v>-0.875</v>
      </c>
      <c r="I87" s="19">
        <f>+I86</f>
        <v>0.75</v>
      </c>
      <c r="J87" s="19">
        <f>+H87*I87</f>
        <v>-0.65625</v>
      </c>
    </row>
    <row r="88" spans="3:10" ht="12.75">
      <c r="C88" s="1" t="s">
        <v>56</v>
      </c>
      <c r="E88" s="22"/>
      <c r="F88" s="22"/>
      <c r="G88" s="23"/>
      <c r="H88" s="24">
        <f>+H87</f>
        <v>-0.875</v>
      </c>
      <c r="I88" s="24">
        <f>+I87</f>
        <v>0.75</v>
      </c>
      <c r="J88" s="24">
        <f>+H88*I88</f>
        <v>-0.65625</v>
      </c>
    </row>
    <row r="89" spans="3:10" ht="12.75">
      <c r="C89" s="1" t="s">
        <v>59</v>
      </c>
      <c r="J89" s="8">
        <f>SUM(J84:J88)</f>
        <v>6.1875</v>
      </c>
    </row>
    <row r="91" ht="12.75">
      <c r="C91" s="1" t="s">
        <v>44</v>
      </c>
    </row>
    <row r="92" spans="5:10" ht="14.25">
      <c r="E92" s="10" t="s">
        <v>46</v>
      </c>
      <c r="F92" s="10" t="s">
        <v>47</v>
      </c>
      <c r="G92" s="10" t="s">
        <v>61</v>
      </c>
      <c r="H92" s="10" t="s">
        <v>51</v>
      </c>
      <c r="I92" s="10" t="s">
        <v>52</v>
      </c>
      <c r="J92" s="10" t="s">
        <v>53</v>
      </c>
    </row>
    <row r="93" spans="5:10" ht="14.25">
      <c r="E93" s="12" t="s">
        <v>57</v>
      </c>
      <c r="F93" s="12" t="s">
        <v>57</v>
      </c>
      <c r="G93" s="12"/>
      <c r="H93" s="12" t="s">
        <v>57</v>
      </c>
      <c r="I93" s="12" t="s">
        <v>57</v>
      </c>
      <c r="J93" s="12" t="s">
        <v>58</v>
      </c>
    </row>
    <row r="94" spans="3:10" ht="12.75">
      <c r="C94" s="1" t="s">
        <v>45</v>
      </c>
      <c r="E94" s="37">
        <v>0</v>
      </c>
      <c r="F94" s="37">
        <v>2</v>
      </c>
      <c r="G94" s="18">
        <f>+(E94^2)/4/F94</f>
        <v>0</v>
      </c>
      <c r="H94" s="18">
        <f>+F94+G94</f>
        <v>2</v>
      </c>
      <c r="I94" s="18">
        <f>+C18</f>
        <v>0.75</v>
      </c>
      <c r="J94" s="18">
        <f aca="true" t="shared" si="0" ref="J94:J100">+H94*I94</f>
        <v>1.5</v>
      </c>
    </row>
    <row r="95" spans="3:10" ht="12.75">
      <c r="C95" s="1" t="s">
        <v>48</v>
      </c>
      <c r="E95" s="38">
        <v>3</v>
      </c>
      <c r="F95" s="38">
        <v>3</v>
      </c>
      <c r="G95" s="19">
        <f>+(E95^2)/4/F95</f>
        <v>0.75</v>
      </c>
      <c r="H95" s="19">
        <f>+F95+G95</f>
        <v>3.75</v>
      </c>
      <c r="I95" s="19">
        <f aca="true" t="shared" si="1" ref="I95:I100">+I94</f>
        <v>0.75</v>
      </c>
      <c r="J95" s="19">
        <f t="shared" si="0"/>
        <v>2.8125</v>
      </c>
    </row>
    <row r="96" spans="3:10" ht="12.75">
      <c r="C96" s="1" t="s">
        <v>49</v>
      </c>
      <c r="E96" s="38">
        <v>3</v>
      </c>
      <c r="F96" s="38">
        <v>3</v>
      </c>
      <c r="G96" s="19">
        <f>+(E96^2)/4/F96</f>
        <v>0.75</v>
      </c>
      <c r="H96" s="19">
        <f>+F96+G96</f>
        <v>3.75</v>
      </c>
      <c r="I96" s="19">
        <f t="shared" si="1"/>
        <v>0.75</v>
      </c>
      <c r="J96" s="19">
        <f t="shared" si="0"/>
        <v>2.8125</v>
      </c>
    </row>
    <row r="97" spans="3:10" ht="12.75">
      <c r="C97" s="1" t="s">
        <v>50</v>
      </c>
      <c r="E97" s="38">
        <v>0</v>
      </c>
      <c r="F97" s="38">
        <v>2</v>
      </c>
      <c r="G97" s="19">
        <f>+(E97^2)/4/F97</f>
        <v>0</v>
      </c>
      <c r="H97" s="19">
        <f>+F97+G97</f>
        <v>2</v>
      </c>
      <c r="I97" s="19">
        <f t="shared" si="1"/>
        <v>0.75</v>
      </c>
      <c r="J97" s="19">
        <f t="shared" si="0"/>
        <v>1.5</v>
      </c>
    </row>
    <row r="98" spans="3:10" ht="12.75">
      <c r="C98" s="1" t="s">
        <v>54</v>
      </c>
      <c r="E98" s="20"/>
      <c r="F98" s="20"/>
      <c r="G98" s="21"/>
      <c r="H98" s="25">
        <f>-(0.125+C19)</f>
        <v>-0.875</v>
      </c>
      <c r="I98" s="19">
        <f t="shared" si="1"/>
        <v>0.75</v>
      </c>
      <c r="J98" s="19">
        <f t="shared" si="0"/>
        <v>-0.65625</v>
      </c>
    </row>
    <row r="99" spans="3:10" ht="12.75">
      <c r="C99" s="1" t="s">
        <v>55</v>
      </c>
      <c r="E99" s="20"/>
      <c r="F99" s="20"/>
      <c r="G99" s="21"/>
      <c r="H99" s="25">
        <f>+H98</f>
        <v>-0.875</v>
      </c>
      <c r="I99" s="19">
        <f t="shared" si="1"/>
        <v>0.75</v>
      </c>
      <c r="J99" s="19">
        <f t="shared" si="0"/>
        <v>-0.65625</v>
      </c>
    </row>
    <row r="100" spans="3:10" ht="12.75">
      <c r="C100" s="1" t="s">
        <v>56</v>
      </c>
      <c r="E100" s="22"/>
      <c r="F100" s="22"/>
      <c r="G100" s="23"/>
      <c r="H100" s="26">
        <f>+H99</f>
        <v>-0.875</v>
      </c>
      <c r="I100" s="24">
        <f t="shared" si="1"/>
        <v>0.75</v>
      </c>
      <c r="J100" s="24">
        <f t="shared" si="0"/>
        <v>-0.65625</v>
      </c>
    </row>
    <row r="101" spans="3:10" ht="12.75">
      <c r="C101" s="1" t="s">
        <v>59</v>
      </c>
      <c r="J101" s="8">
        <f>SUM(J94:J100)</f>
        <v>6.65625</v>
      </c>
    </row>
    <row r="103" spans="2:5" ht="15.75">
      <c r="B103" s="1" t="s">
        <v>62</v>
      </c>
      <c r="D103" s="15">
        <f>MIN(J89,J101)</f>
        <v>6.1875</v>
      </c>
      <c r="E103" s="1" t="s">
        <v>60</v>
      </c>
    </row>
    <row r="104" spans="3:4" ht="12.75">
      <c r="C104" s="1" t="s">
        <v>137</v>
      </c>
      <c r="D104" s="15">
        <v>1</v>
      </c>
    </row>
    <row r="105" spans="3:5" ht="15.75">
      <c r="C105" s="1" t="s">
        <v>138</v>
      </c>
      <c r="D105" s="15">
        <f>+D103*D104</f>
        <v>6.1875</v>
      </c>
      <c r="E105" s="1" t="s">
        <v>60</v>
      </c>
    </row>
    <row r="107" spans="2:4" ht="15.75">
      <c r="B107" s="1" t="s">
        <v>31</v>
      </c>
      <c r="C107" s="27">
        <f>+D105*C15</f>
        <v>358.875</v>
      </c>
      <c r="D107" s="1" t="s">
        <v>21</v>
      </c>
    </row>
    <row r="109" spans="1:10" ht="12.75">
      <c r="A109" s="6" t="s">
        <v>33</v>
      </c>
      <c r="B109" s="6"/>
      <c r="C109" s="6"/>
      <c r="D109" s="6"/>
      <c r="F109" s="6" t="s">
        <v>34</v>
      </c>
      <c r="G109" s="6"/>
      <c r="H109" s="6"/>
      <c r="I109" s="6"/>
      <c r="J109" s="6"/>
    </row>
    <row r="110" spans="1:8" ht="15.75">
      <c r="A110" s="17" t="s">
        <v>35</v>
      </c>
      <c r="B110" s="1">
        <v>0.75</v>
      </c>
      <c r="F110" s="17" t="s">
        <v>36</v>
      </c>
      <c r="H110" s="1">
        <v>2</v>
      </c>
    </row>
    <row r="111" spans="1:9" ht="15.75">
      <c r="A111" s="17" t="s">
        <v>37</v>
      </c>
      <c r="B111" s="16">
        <f>+B110*C107</f>
        <v>269.15625</v>
      </c>
      <c r="C111" s="1" t="s">
        <v>21</v>
      </c>
      <c r="F111" s="1" t="s">
        <v>38</v>
      </c>
      <c r="H111" s="16">
        <f>+C107/H110</f>
        <v>179.4375</v>
      </c>
      <c r="I111" s="1" t="s">
        <v>21</v>
      </c>
    </row>
    <row r="112" spans="1:9" ht="15.75">
      <c r="A112" s="1" t="s">
        <v>39</v>
      </c>
      <c r="B112" s="15">
        <f>+C50/B111</f>
        <v>0.8025078369905956</v>
      </c>
      <c r="C112" s="1" t="str">
        <f>IF(B112&lt;=1,"Limit State Statisfied","No Good")</f>
        <v>Limit State Statisfied</v>
      </c>
      <c r="F112" s="1" t="s">
        <v>40</v>
      </c>
      <c r="H112" s="15">
        <f>+G50/H111</f>
        <v>0.9474050853361198</v>
      </c>
      <c r="I112" s="1" t="str">
        <f>IF(H112&lt;=1,"Limit State Statisfied","No Good")</f>
        <v>Limit State Statisfied</v>
      </c>
    </row>
    <row r="114" spans="1:3" ht="12.75">
      <c r="A114" s="14" t="s">
        <v>65</v>
      </c>
      <c r="B114" s="6"/>
      <c r="C114" s="6"/>
    </row>
    <row r="115" ht="12.75">
      <c r="A115" s="28"/>
    </row>
    <row r="116" ht="12.75">
      <c r="A116" s="28"/>
    </row>
    <row r="117" ht="12.75">
      <c r="A117" s="28"/>
    </row>
    <row r="118" ht="12.75">
      <c r="A118" s="28"/>
    </row>
    <row r="119" ht="12.75">
      <c r="A119" s="28"/>
    </row>
    <row r="120" ht="12.75">
      <c r="A120" s="28"/>
    </row>
    <row r="121" ht="12.75">
      <c r="A121" s="28"/>
    </row>
    <row r="122" ht="12.75">
      <c r="A122" s="28"/>
    </row>
    <row r="123" ht="12.75">
      <c r="A123" s="28"/>
    </row>
    <row r="124" ht="12.75">
      <c r="A124" s="28"/>
    </row>
    <row r="125" spans="2:4" ht="15.75">
      <c r="B125" s="1" t="s">
        <v>74</v>
      </c>
      <c r="C125" s="1">
        <f>+C18</f>
        <v>0.75</v>
      </c>
      <c r="D125" s="1" t="s">
        <v>4</v>
      </c>
    </row>
    <row r="126" spans="2:4" ht="15.75">
      <c r="B126" s="1" t="s">
        <v>42</v>
      </c>
      <c r="C126" s="1">
        <f>+C19</f>
        <v>0.75</v>
      </c>
      <c r="D126" s="1" t="s">
        <v>4</v>
      </c>
    </row>
    <row r="127" ht="12.75"/>
    <row r="128" spans="2:8" ht="12.75">
      <c r="B128" s="1" t="s">
        <v>66</v>
      </c>
      <c r="D128" s="10" t="s">
        <v>71</v>
      </c>
      <c r="E128" s="10" t="s">
        <v>70</v>
      </c>
      <c r="F128" s="10" t="s">
        <v>72</v>
      </c>
      <c r="G128" s="10"/>
      <c r="H128" s="10"/>
    </row>
    <row r="129" spans="4:8" ht="12.75">
      <c r="D129" s="10" t="s">
        <v>68</v>
      </c>
      <c r="E129" s="10" t="s">
        <v>69</v>
      </c>
      <c r="F129" s="10" t="s">
        <v>68</v>
      </c>
      <c r="G129" s="10" t="s">
        <v>67</v>
      </c>
      <c r="H129" s="10" t="s">
        <v>53</v>
      </c>
    </row>
    <row r="130" spans="4:8" ht="12.75">
      <c r="D130" s="12" t="s">
        <v>57</v>
      </c>
      <c r="E130" s="12"/>
      <c r="F130" s="12" t="s">
        <v>57</v>
      </c>
      <c r="G130" s="12"/>
      <c r="H130" s="12" t="s">
        <v>73</v>
      </c>
    </row>
    <row r="131" spans="3:8" ht="15.75">
      <c r="C131" s="1" t="s">
        <v>110</v>
      </c>
      <c r="D131" s="37">
        <v>10.5</v>
      </c>
      <c r="E131" s="37">
        <v>0</v>
      </c>
      <c r="F131" s="18">
        <f>+D131-E131*(C126+0.125)</f>
        <v>10.5</v>
      </c>
      <c r="G131" s="18">
        <v>2</v>
      </c>
      <c r="H131" s="18">
        <f>+G131*F131*C125</f>
        <v>15.75</v>
      </c>
    </row>
    <row r="132" spans="3:8" ht="15.75">
      <c r="C132" s="1" t="s">
        <v>111</v>
      </c>
      <c r="D132" s="38">
        <v>10.5</v>
      </c>
      <c r="E132" s="38">
        <v>3.5</v>
      </c>
      <c r="F132" s="19">
        <f>+D132-E132*(C126+0.125)</f>
        <v>7.4375</v>
      </c>
      <c r="G132" s="19">
        <v>2</v>
      </c>
      <c r="H132" s="19">
        <f>+G132*F132*C125</f>
        <v>11.15625</v>
      </c>
    </row>
    <row r="133" spans="3:8" ht="15.75">
      <c r="C133" s="1" t="s">
        <v>112</v>
      </c>
      <c r="D133" s="39">
        <v>6</v>
      </c>
      <c r="E133" s="39">
        <v>1</v>
      </c>
      <c r="F133" s="24">
        <f>+D133-E133*(C126+0.125)</f>
        <v>5.125</v>
      </c>
      <c r="G133" s="24">
        <v>1</v>
      </c>
      <c r="H133" s="24">
        <f>+G133*F133*C125</f>
        <v>3.84375</v>
      </c>
    </row>
    <row r="135" spans="3:4" ht="15.75">
      <c r="C135" s="1" t="s">
        <v>113</v>
      </c>
      <c r="D135" s="29">
        <v>1</v>
      </c>
    </row>
    <row r="136" ht="12.75">
      <c r="D136" s="29"/>
    </row>
    <row r="137" spans="4:6" ht="12.75">
      <c r="D137" s="29" t="s">
        <v>76</v>
      </c>
      <c r="E137" s="10" t="s">
        <v>76</v>
      </c>
      <c r="F137" s="10" t="s">
        <v>79</v>
      </c>
    </row>
    <row r="138" spans="4:6" ht="12.75">
      <c r="D138" s="29" t="s">
        <v>77</v>
      </c>
      <c r="E138" s="10" t="s">
        <v>78</v>
      </c>
      <c r="F138" s="10"/>
    </row>
    <row r="139" spans="4:6" ht="12.75">
      <c r="D139" s="30" t="s">
        <v>80</v>
      </c>
      <c r="E139" s="12" t="s">
        <v>80</v>
      </c>
      <c r="F139" s="12" t="s">
        <v>80</v>
      </c>
    </row>
    <row r="140" spans="3:6" ht="15.75">
      <c r="C140" s="1" t="s">
        <v>86</v>
      </c>
      <c r="D140" s="29">
        <f>0.6*C15*H132+D135*C15*H133</f>
        <v>611.175</v>
      </c>
      <c r="E140" s="29">
        <f>0.6*C14*H131+D135*C15*H133</f>
        <v>563.1375</v>
      </c>
      <c r="F140" s="29">
        <f>MIN(D140,E140)</f>
        <v>563.1375</v>
      </c>
    </row>
    <row r="142" spans="2:8" ht="12.75">
      <c r="B142" s="1" t="s">
        <v>75</v>
      </c>
      <c r="D142" s="10" t="s">
        <v>71</v>
      </c>
      <c r="E142" s="10" t="s">
        <v>70</v>
      </c>
      <c r="F142" s="10" t="s">
        <v>72</v>
      </c>
      <c r="G142" s="10"/>
      <c r="H142" s="10"/>
    </row>
    <row r="143" spans="4:8" ht="12.75">
      <c r="D143" s="10" t="s">
        <v>68</v>
      </c>
      <c r="E143" s="10" t="s">
        <v>69</v>
      </c>
      <c r="F143" s="10" t="s">
        <v>68</v>
      </c>
      <c r="G143" s="10" t="s">
        <v>67</v>
      </c>
      <c r="H143" s="10" t="s">
        <v>53</v>
      </c>
    </row>
    <row r="144" spans="4:8" ht="12.75">
      <c r="D144" s="12" t="s">
        <v>57</v>
      </c>
      <c r="E144" s="12"/>
      <c r="F144" s="12" t="s">
        <v>57</v>
      </c>
      <c r="G144" s="12"/>
      <c r="H144" s="12" t="s">
        <v>73</v>
      </c>
    </row>
    <row r="145" spans="3:8" ht="15.75">
      <c r="C145" s="1" t="s">
        <v>110</v>
      </c>
      <c r="D145" s="37">
        <v>10.5</v>
      </c>
      <c r="E145" s="37">
        <v>0</v>
      </c>
      <c r="F145" s="18">
        <f>+D145-E145*(C126+0.125)</f>
        <v>10.5</v>
      </c>
      <c r="G145" s="18">
        <v>1</v>
      </c>
      <c r="H145" s="18">
        <f>+G145*F145*C125</f>
        <v>7.875</v>
      </c>
    </row>
    <row r="146" spans="3:8" ht="15.75">
      <c r="C146" s="1" t="s">
        <v>111</v>
      </c>
      <c r="D146" s="38">
        <v>10.5</v>
      </c>
      <c r="E146" s="38">
        <v>3.5</v>
      </c>
      <c r="F146" s="19">
        <f>+D146-E146*(C126+0.125)</f>
        <v>7.4375</v>
      </c>
      <c r="G146" s="19">
        <v>1</v>
      </c>
      <c r="H146" s="19">
        <f>+G146*F146*C125</f>
        <v>5.578125</v>
      </c>
    </row>
    <row r="147" spans="3:8" ht="15.75">
      <c r="C147" s="1" t="s">
        <v>112</v>
      </c>
      <c r="D147" s="39">
        <v>8</v>
      </c>
      <c r="E147" s="39">
        <v>1.5</v>
      </c>
      <c r="F147" s="24">
        <f>+D147-E147*(C126+0.125)</f>
        <v>6.6875</v>
      </c>
      <c r="G147" s="24">
        <v>1</v>
      </c>
      <c r="H147" s="24">
        <f>+G147*F147*C125</f>
        <v>5.015625</v>
      </c>
    </row>
    <row r="149" spans="3:4" ht="15.75">
      <c r="C149" s="1" t="s">
        <v>113</v>
      </c>
      <c r="D149" s="29">
        <v>0.5</v>
      </c>
    </row>
    <row r="150" ht="12.75">
      <c r="D150" s="29"/>
    </row>
    <row r="151" spans="4:6" ht="12.75">
      <c r="D151" s="29" t="s">
        <v>76</v>
      </c>
      <c r="E151" s="10" t="s">
        <v>76</v>
      </c>
      <c r="F151" s="10" t="s">
        <v>79</v>
      </c>
    </row>
    <row r="152" spans="4:6" ht="12.75">
      <c r="D152" s="29" t="s">
        <v>77</v>
      </c>
      <c r="E152" s="10" t="s">
        <v>78</v>
      </c>
      <c r="F152" s="10"/>
    </row>
    <row r="153" spans="4:6" ht="12.75">
      <c r="D153" s="30" t="s">
        <v>80</v>
      </c>
      <c r="E153" s="12" t="s">
        <v>80</v>
      </c>
      <c r="F153" s="12" t="s">
        <v>80</v>
      </c>
    </row>
    <row r="154" spans="3:6" ht="15.75">
      <c r="C154" s="1" t="s">
        <v>86</v>
      </c>
      <c r="D154" s="29">
        <f>0.6*C15*H146+D149*C15*H147</f>
        <v>339.571875</v>
      </c>
      <c r="E154" s="29">
        <f>0.6*C14*H145+D149*C15*H147</f>
        <v>315.553125</v>
      </c>
      <c r="F154" s="29">
        <f>MIN(D154,E154)</f>
        <v>315.553125</v>
      </c>
    </row>
    <row r="155" spans="4:6" ht="12.75">
      <c r="D155" s="29"/>
      <c r="E155" s="29"/>
      <c r="F155" s="29"/>
    </row>
    <row r="156" spans="3:6" ht="15.75">
      <c r="C156" s="1" t="s">
        <v>87</v>
      </c>
      <c r="D156" s="29"/>
      <c r="E156" s="31">
        <f>MIN(F140,F154)</f>
        <v>315.553125</v>
      </c>
      <c r="F156" s="31" t="s">
        <v>83</v>
      </c>
    </row>
    <row r="158" spans="1:10" ht="12.75">
      <c r="A158" s="6" t="s">
        <v>33</v>
      </c>
      <c r="B158" s="6"/>
      <c r="C158" s="6"/>
      <c r="D158" s="6"/>
      <c r="F158" s="6" t="s">
        <v>34</v>
      </c>
      <c r="G158" s="6"/>
      <c r="H158" s="6"/>
      <c r="I158" s="6"/>
      <c r="J158" s="6"/>
    </row>
    <row r="159" spans="1:8" ht="15.75">
      <c r="A159" s="17" t="s">
        <v>35</v>
      </c>
      <c r="B159" s="1">
        <v>0.75</v>
      </c>
      <c r="F159" s="17" t="s">
        <v>36</v>
      </c>
      <c r="H159" s="1">
        <v>2</v>
      </c>
    </row>
    <row r="160" spans="1:9" ht="15.75">
      <c r="A160" s="17" t="s">
        <v>81</v>
      </c>
      <c r="B160" s="16">
        <f>+B159*E156</f>
        <v>236.66484375000002</v>
      </c>
      <c r="C160" s="1" t="s">
        <v>21</v>
      </c>
      <c r="F160" s="1" t="s">
        <v>82</v>
      </c>
      <c r="H160" s="16">
        <f>+E156/H159</f>
        <v>157.7765625</v>
      </c>
      <c r="I160" s="1" t="s">
        <v>21</v>
      </c>
    </row>
    <row r="161" spans="1:9" ht="15.75">
      <c r="A161" s="1" t="s">
        <v>39</v>
      </c>
      <c r="B161" s="15">
        <f>+C50/B160</f>
        <v>0.9126830862473632</v>
      </c>
      <c r="C161" s="1" t="str">
        <f>IF(B161&lt;=1,"Limit State Statisfied","No Good")</f>
        <v>Limit State Statisfied</v>
      </c>
      <c r="F161" s="1" t="s">
        <v>169</v>
      </c>
      <c r="H161" s="15">
        <f>+G50/H160</f>
        <v>1.077473087930915</v>
      </c>
      <c r="I161" s="1" t="str">
        <f>IF(H161&lt;=1,"Limit State Statisfied","No Good")</f>
        <v>No Good</v>
      </c>
    </row>
    <row r="163" spans="1:2" ht="12.75">
      <c r="A163" s="14" t="s">
        <v>84</v>
      </c>
      <c r="B163" s="6"/>
    </row>
    <row r="164" ht="12.75">
      <c r="B164" s="1" t="s">
        <v>88</v>
      </c>
    </row>
    <row r="165" ht="12.75">
      <c r="B165" s="1" t="s">
        <v>89</v>
      </c>
    </row>
    <row r="167" spans="2:7" ht="15.75">
      <c r="B167" s="1" t="s">
        <v>74</v>
      </c>
      <c r="C167" s="1">
        <f>+C18</f>
        <v>0.75</v>
      </c>
      <c r="D167" s="1" t="s">
        <v>4</v>
      </c>
      <c r="E167" s="1" t="s">
        <v>85</v>
      </c>
      <c r="F167" s="1">
        <f>1.5-(C168+0.125)/2</f>
        <v>1.0625</v>
      </c>
      <c r="G167" s="1" t="s">
        <v>4</v>
      </c>
    </row>
    <row r="168" spans="2:7" ht="15.75">
      <c r="B168" s="1" t="s">
        <v>42</v>
      </c>
      <c r="C168" s="1">
        <f>+C19</f>
        <v>0.75</v>
      </c>
      <c r="D168" s="1" t="s">
        <v>4</v>
      </c>
      <c r="E168" s="1" t="s">
        <v>95</v>
      </c>
      <c r="F168" s="1">
        <v>11</v>
      </c>
      <c r="G168" s="1" t="s">
        <v>96</v>
      </c>
    </row>
    <row r="170" spans="4:7" ht="12.75">
      <c r="D170" s="29" t="s">
        <v>90</v>
      </c>
      <c r="E170" s="10" t="s">
        <v>92</v>
      </c>
      <c r="F170" s="10" t="s">
        <v>79</v>
      </c>
      <c r="G170" s="10" t="s">
        <v>79</v>
      </c>
    </row>
    <row r="171" spans="4:7" ht="12.75">
      <c r="D171" s="29" t="s">
        <v>91</v>
      </c>
      <c r="E171" s="10" t="s">
        <v>93</v>
      </c>
      <c r="F171" s="10"/>
      <c r="G171" s="10"/>
    </row>
    <row r="172" spans="4:7" ht="12.75">
      <c r="D172" s="30" t="s">
        <v>94</v>
      </c>
      <c r="E172" s="30" t="s">
        <v>94</v>
      </c>
      <c r="F172" s="30" t="s">
        <v>94</v>
      </c>
      <c r="G172" s="32" t="s">
        <v>80</v>
      </c>
    </row>
    <row r="173" spans="3:7" ht="15.75">
      <c r="C173" s="1" t="s">
        <v>114</v>
      </c>
      <c r="D173" s="33">
        <v>1.5</v>
      </c>
      <c r="E173" s="33">
        <v>3</v>
      </c>
      <c r="F173" s="33"/>
      <c r="G173" s="34"/>
    </row>
    <row r="174" spans="3:7" ht="15.75">
      <c r="C174" s="1" t="s">
        <v>86</v>
      </c>
      <c r="D174" s="29">
        <f>D173*F167*C167*C15</f>
        <v>69.328125</v>
      </c>
      <c r="E174" s="29">
        <f>E173*C168*C167*C15</f>
        <v>97.875</v>
      </c>
      <c r="F174" s="29">
        <f>MIN(D174,E174)</f>
        <v>69.328125</v>
      </c>
      <c r="G174" s="29">
        <f>+F174*F168</f>
        <v>762.609375</v>
      </c>
    </row>
    <row r="176" spans="1:10" ht="12.75">
      <c r="A176" s="6" t="s">
        <v>33</v>
      </c>
      <c r="B176" s="6"/>
      <c r="C176" s="6"/>
      <c r="D176" s="6"/>
      <c r="F176" s="6" t="s">
        <v>34</v>
      </c>
      <c r="G176" s="6"/>
      <c r="H176" s="6"/>
      <c r="I176" s="6"/>
      <c r="J176" s="6"/>
    </row>
    <row r="177" spans="1:8" ht="15.75">
      <c r="A177" s="17" t="s">
        <v>35</v>
      </c>
      <c r="B177" s="1">
        <v>0.75</v>
      </c>
      <c r="F177" s="17" t="s">
        <v>36</v>
      </c>
      <c r="H177" s="1">
        <v>2</v>
      </c>
    </row>
    <row r="178" spans="1:9" ht="15.75">
      <c r="A178" s="17" t="s">
        <v>81</v>
      </c>
      <c r="B178" s="16">
        <f>+B177*G174</f>
        <v>571.95703125</v>
      </c>
      <c r="C178" s="1" t="s">
        <v>21</v>
      </c>
      <c r="F178" s="1" t="s">
        <v>82</v>
      </c>
      <c r="H178" s="16">
        <f>+G174/H177</f>
        <v>381.3046875</v>
      </c>
      <c r="I178" s="1" t="s">
        <v>21</v>
      </c>
    </row>
    <row r="179" spans="1:9" ht="15.75">
      <c r="A179" s="1" t="s">
        <v>39</v>
      </c>
      <c r="B179" s="15">
        <f>+C50/B178</f>
        <v>0.3776507468191038</v>
      </c>
      <c r="C179" s="1" t="str">
        <f>IF(B179&lt;=1,"Limit State Statisfied","No Good")</f>
        <v>Limit State Statisfied</v>
      </c>
      <c r="F179" s="1" t="s">
        <v>169</v>
      </c>
      <c r="H179" s="15">
        <f>+G50/H178</f>
        <v>0.44583768721699757</v>
      </c>
      <c r="I179" s="1" t="str">
        <f>IF(H179&lt;=1,"Limit State Statisfied","No Good")</f>
        <v>Limit State Statisfied</v>
      </c>
    </row>
    <row r="182" spans="1:5" ht="12.75">
      <c r="A182" s="14" t="s">
        <v>121</v>
      </c>
      <c r="B182" s="6"/>
      <c r="C182" s="6"/>
      <c r="D182" s="6"/>
      <c r="E182" s="6"/>
    </row>
    <row r="184" spans="2:5" ht="15.75">
      <c r="B184" s="1" t="s">
        <v>127</v>
      </c>
      <c r="D184" s="16">
        <f>+B160</f>
        <v>236.66484375000002</v>
      </c>
      <c r="E184" s="1" t="s">
        <v>83</v>
      </c>
    </row>
    <row r="185" spans="2:5" ht="15.75">
      <c r="B185" s="1" t="s">
        <v>171</v>
      </c>
      <c r="D185" s="16">
        <f>+E44</f>
        <v>157.7765625</v>
      </c>
      <c r="E185" s="1" t="s">
        <v>83</v>
      </c>
    </row>
    <row r="187" spans="3:6" ht="12.75">
      <c r="C187" s="46" t="s">
        <v>33</v>
      </c>
      <c r="D187" s="89"/>
      <c r="E187" s="10" t="s">
        <v>34</v>
      </c>
      <c r="F187" s="89"/>
    </row>
    <row r="188" spans="2:6" ht="15.75">
      <c r="B188" s="10" t="s">
        <v>120</v>
      </c>
      <c r="C188" s="46" t="s">
        <v>119</v>
      </c>
      <c r="D188" s="45" t="s">
        <v>167</v>
      </c>
      <c r="E188" s="10" t="s">
        <v>119</v>
      </c>
      <c r="F188" s="45" t="s">
        <v>167</v>
      </c>
    </row>
    <row r="189" spans="2:6" ht="12.75">
      <c r="B189" s="11"/>
      <c r="C189" s="87"/>
      <c r="D189" s="48" t="s">
        <v>80</v>
      </c>
      <c r="E189" s="11"/>
      <c r="F189" s="48" t="s">
        <v>80</v>
      </c>
    </row>
    <row r="190" spans="2:6" ht="12.75">
      <c r="B190" s="35">
        <v>0</v>
      </c>
      <c r="C190" s="88">
        <f>1.6-0.4*B190</f>
        <v>1.6</v>
      </c>
      <c r="D190" s="90">
        <f>+D184/C190</f>
        <v>147.91552734375</v>
      </c>
      <c r="E190" s="86">
        <v>1</v>
      </c>
      <c r="F190" s="90">
        <f>+H160</f>
        <v>157.7765625</v>
      </c>
    </row>
    <row r="191" spans="2:6" ht="12.75">
      <c r="B191" s="35">
        <v>0.2500050955377778</v>
      </c>
      <c r="C191" s="88">
        <f>1.6-0.4*B191</f>
        <v>1.499997961784889</v>
      </c>
      <c r="D191" s="90">
        <f>+D184/C191</f>
        <v>157.77677688867388</v>
      </c>
      <c r="E191" s="86">
        <v>1</v>
      </c>
      <c r="F191" s="90">
        <f>+F190</f>
        <v>157.7765625</v>
      </c>
    </row>
    <row r="192" spans="2:6" ht="12.75">
      <c r="B192" s="35">
        <v>0.5</v>
      </c>
      <c r="C192" s="88">
        <f>1.6-0.4*B192</f>
        <v>1.4000000000000001</v>
      </c>
      <c r="D192" s="90">
        <f>+D184/C192</f>
        <v>169.04631696428572</v>
      </c>
      <c r="E192" s="86">
        <v>1</v>
      </c>
      <c r="F192" s="90">
        <f>+F191</f>
        <v>157.7765625</v>
      </c>
    </row>
    <row r="193" spans="2:6" ht="12.75">
      <c r="B193" s="35">
        <v>0.75</v>
      </c>
      <c r="C193" s="88">
        <f>1.6-0.4*B193</f>
        <v>1.3</v>
      </c>
      <c r="D193" s="90">
        <f>+D184/C193</f>
        <v>182.04987980769232</v>
      </c>
      <c r="E193" s="86">
        <v>1</v>
      </c>
      <c r="F193" s="90">
        <f>+F192</f>
        <v>157.7765625</v>
      </c>
    </row>
    <row r="194" spans="2:6" ht="12.75">
      <c r="B194" s="35">
        <v>1</v>
      </c>
      <c r="C194" s="88">
        <f>1.6-0.4*B194</f>
        <v>1.2000000000000002</v>
      </c>
      <c r="D194" s="90">
        <f>+D184/C194</f>
        <v>197.22070312499997</v>
      </c>
      <c r="E194" s="86">
        <v>1</v>
      </c>
      <c r="F194" s="90">
        <f>+F191</f>
        <v>157.7765625</v>
      </c>
    </row>
  </sheetData>
  <sheetProtection password="C71E" sheet="1"/>
  <conditionalFormatting sqref="B179 H179 B161 H161 B67 D58 H67 B112 H112 D29:E33">
    <cfRule type="cellIs" priority="1" dxfId="1" operator="lessThanOrEqual" stopIfTrue="1">
      <formula>1</formula>
    </cfRule>
    <cfRule type="cellIs" priority="2" dxfId="0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r:id="rId6"/>
  <drawing r:id="rId5"/>
  <legacyDrawing r:id="rId4"/>
  <oleObjects>
    <oleObject progId="AutoCAD.Drawing.16" shapeId="97527" r:id="rId1"/>
    <oleObject progId="AutoCAD.Drawing.16" shapeId="251155" r:id="rId2"/>
    <oleObject progId="AutoCAD.Drawing.16" shapeId="25580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7" width="9.140625" style="1" customWidth="1"/>
    <col min="8" max="8" width="10.57421875" style="1" bestFit="1" customWidth="1"/>
    <col min="9" max="16384" width="9.140625" style="1" customWidth="1"/>
  </cols>
  <sheetData>
    <row r="1" spans="1:8" ht="12.75">
      <c r="A1" s="1" t="s">
        <v>0</v>
      </c>
      <c r="H1" s="1" t="s">
        <v>162</v>
      </c>
    </row>
    <row r="2" spans="1:8" ht="12.75">
      <c r="A2" s="2" t="s">
        <v>166</v>
      </c>
      <c r="H2" s="1" t="s">
        <v>163</v>
      </c>
    </row>
    <row r="4" spans="1:2" ht="12.75">
      <c r="A4" s="2" t="s">
        <v>1</v>
      </c>
      <c r="B4" s="1" t="s">
        <v>122</v>
      </c>
    </row>
    <row r="5" ht="12.75">
      <c r="B5" s="1" t="s">
        <v>123</v>
      </c>
    </row>
    <row r="7" spans="2:4" ht="15.75">
      <c r="B7" s="1" t="s">
        <v>32</v>
      </c>
      <c r="C7" s="36">
        <v>50</v>
      </c>
      <c r="D7" s="1" t="s">
        <v>3</v>
      </c>
    </row>
    <row r="8" spans="2:4" ht="15.75">
      <c r="B8" s="1" t="s">
        <v>63</v>
      </c>
      <c r="C8" s="36">
        <v>70</v>
      </c>
      <c r="D8" s="1" t="s">
        <v>3</v>
      </c>
    </row>
    <row r="9" spans="2:4" ht="12.75">
      <c r="B9" s="1" t="s">
        <v>14</v>
      </c>
      <c r="C9" s="36">
        <v>2</v>
      </c>
      <c r="D9" s="1" t="s">
        <v>15</v>
      </c>
    </row>
    <row r="10" spans="2:9" ht="12.75">
      <c r="B10" s="1" t="s">
        <v>5</v>
      </c>
      <c r="C10" s="36">
        <v>9</v>
      </c>
      <c r="D10" s="1" t="s">
        <v>4</v>
      </c>
      <c r="E10" s="1" t="s">
        <v>18</v>
      </c>
      <c r="F10" s="1" t="s">
        <v>19</v>
      </c>
      <c r="G10" s="70">
        <v>0.4</v>
      </c>
      <c r="H10" s="1" t="s">
        <v>125</v>
      </c>
      <c r="I10" s="3"/>
    </row>
    <row r="11" spans="2:9" ht="15.75">
      <c r="B11" s="1" t="s">
        <v>74</v>
      </c>
      <c r="C11" s="69">
        <v>0.5</v>
      </c>
      <c r="D11" s="1" t="s">
        <v>4</v>
      </c>
      <c r="F11" s="1" t="s">
        <v>129</v>
      </c>
      <c r="G11" s="3">
        <f>1-G10</f>
        <v>0.6</v>
      </c>
      <c r="H11" s="1" t="s">
        <v>125</v>
      </c>
      <c r="I11" s="3"/>
    </row>
    <row r="12" spans="2:4" ht="15.75">
      <c r="B12" s="1" t="s">
        <v>42</v>
      </c>
      <c r="C12" s="36">
        <v>0.875</v>
      </c>
      <c r="D12" s="1" t="s">
        <v>4</v>
      </c>
    </row>
    <row r="14" spans="1:2" ht="12.75">
      <c r="A14" s="2" t="s">
        <v>6</v>
      </c>
      <c r="B14" s="1" t="s">
        <v>124</v>
      </c>
    </row>
    <row r="16" ht="12.75">
      <c r="A16" s="2" t="s">
        <v>8</v>
      </c>
    </row>
    <row r="17" ht="12.75">
      <c r="A17" s="4"/>
    </row>
    <row r="18" spans="1:3" ht="12.75">
      <c r="A18" s="5" t="s">
        <v>97</v>
      </c>
      <c r="B18" s="6"/>
      <c r="C18" s="1" t="s">
        <v>98</v>
      </c>
    </row>
    <row r="19" ht="12.75">
      <c r="A19" s="4"/>
    </row>
    <row r="20" spans="1:2" ht="12.75">
      <c r="A20" s="4"/>
      <c r="B20" s="2" t="s">
        <v>115</v>
      </c>
    </row>
    <row r="21" spans="1:8" ht="12.75">
      <c r="A21" s="4"/>
      <c r="C21" s="2"/>
      <c r="D21" s="40"/>
      <c r="E21" s="41" t="s">
        <v>33</v>
      </c>
      <c r="F21" s="42"/>
      <c r="G21" s="40" t="s">
        <v>34</v>
      </c>
      <c r="H21" s="42"/>
    </row>
    <row r="22" spans="1:8" ht="15.75">
      <c r="A22" s="4"/>
      <c r="B22" s="9" t="s">
        <v>104</v>
      </c>
      <c r="D22" s="43" t="s">
        <v>139</v>
      </c>
      <c r="E22" s="44" t="s">
        <v>141</v>
      </c>
      <c r="F22" s="45" t="s">
        <v>141</v>
      </c>
      <c r="G22" s="46" t="s">
        <v>140</v>
      </c>
      <c r="H22" s="45" t="s">
        <v>140</v>
      </c>
    </row>
    <row r="23" spans="1:8" ht="12.75">
      <c r="A23" s="4"/>
      <c r="B23" s="11"/>
      <c r="C23" s="11"/>
      <c r="D23" s="47" t="s">
        <v>136</v>
      </c>
      <c r="E23" s="12" t="s">
        <v>136</v>
      </c>
      <c r="F23" s="48" t="s">
        <v>142</v>
      </c>
      <c r="G23" s="47" t="s">
        <v>136</v>
      </c>
      <c r="H23" s="48" t="s">
        <v>142</v>
      </c>
    </row>
    <row r="24" spans="1:8" ht="12.75">
      <c r="A24" s="4"/>
      <c r="B24" s="1" t="s">
        <v>99</v>
      </c>
      <c r="D24" s="46" t="s">
        <v>116</v>
      </c>
      <c r="E24" s="44" t="s">
        <v>116</v>
      </c>
      <c r="F24" s="45" t="s">
        <v>116</v>
      </c>
      <c r="G24" s="46" t="s">
        <v>116</v>
      </c>
      <c r="H24" s="49" t="s">
        <v>116</v>
      </c>
    </row>
    <row r="25" spans="1:8" ht="12.75">
      <c r="A25" s="4"/>
      <c r="B25" s="1" t="s">
        <v>100</v>
      </c>
      <c r="D25" s="50">
        <f>+B58</f>
        <v>202.5</v>
      </c>
      <c r="E25" s="33">
        <f>+D25/F$41</f>
        <v>140.625</v>
      </c>
      <c r="F25" s="51">
        <f>2*E25</f>
        <v>281.25</v>
      </c>
      <c r="G25" s="50">
        <f>+H58</f>
        <v>134.7305389221557</v>
      </c>
      <c r="H25" s="51">
        <f>2*G25</f>
        <v>269.4610778443114</v>
      </c>
    </row>
    <row r="26" spans="1:9" ht="12.75">
      <c r="A26" s="4"/>
      <c r="B26" s="2" t="s">
        <v>101</v>
      </c>
      <c r="C26" s="2"/>
      <c r="D26" s="52">
        <f>+B103</f>
        <v>167.34375</v>
      </c>
      <c r="E26" s="53">
        <f>+D26/F$41</f>
        <v>116.2109375</v>
      </c>
      <c r="F26" s="54">
        <f aca="true" t="shared" si="0" ref="F26:H29">2*E26</f>
        <v>232.421875</v>
      </c>
      <c r="G26" s="52">
        <f>+H103</f>
        <v>111.5625</v>
      </c>
      <c r="H26" s="54">
        <f t="shared" si="0"/>
        <v>223.125</v>
      </c>
      <c r="I26" s="1" t="s">
        <v>159</v>
      </c>
    </row>
    <row r="27" spans="1:8" ht="12.75">
      <c r="A27" s="4"/>
      <c r="B27" s="1" t="s">
        <v>102</v>
      </c>
      <c r="D27" s="50">
        <f>+B152</f>
        <v>189</v>
      </c>
      <c r="E27" s="33">
        <f>+D27/F$41</f>
        <v>131.25</v>
      </c>
      <c r="F27" s="51">
        <f t="shared" si="0"/>
        <v>262.5</v>
      </c>
      <c r="G27" s="50">
        <f>+H152</f>
        <v>126</v>
      </c>
      <c r="H27" s="51">
        <f t="shared" si="0"/>
        <v>252</v>
      </c>
    </row>
    <row r="28" spans="1:8" ht="12.75">
      <c r="A28" s="4"/>
      <c r="B28" s="6" t="s">
        <v>103</v>
      </c>
      <c r="C28" s="6"/>
      <c r="D28" s="55">
        <f>+B169</f>
        <v>433.125</v>
      </c>
      <c r="E28" s="56">
        <f>+D28/F$41</f>
        <v>300.78125</v>
      </c>
      <c r="F28" s="57">
        <f t="shared" si="0"/>
        <v>601.5625</v>
      </c>
      <c r="G28" s="55">
        <f>+H169</f>
        <v>288.75</v>
      </c>
      <c r="H28" s="57">
        <f t="shared" si="0"/>
        <v>577.5</v>
      </c>
    </row>
    <row r="29" spans="1:8" ht="12.75">
      <c r="A29" s="4"/>
      <c r="B29" s="1" t="s">
        <v>135</v>
      </c>
      <c r="D29" s="55">
        <f>MIN(D25:D28)</f>
        <v>167.34375</v>
      </c>
      <c r="E29" s="56">
        <f>MIN(E25:E28)</f>
        <v>116.2109375</v>
      </c>
      <c r="F29" s="58">
        <f t="shared" si="0"/>
        <v>232.421875</v>
      </c>
      <c r="G29" s="55">
        <f>MIN(G25:G28)</f>
        <v>111.5625</v>
      </c>
      <c r="H29" s="58">
        <f t="shared" si="0"/>
        <v>223.125</v>
      </c>
    </row>
    <row r="30" spans="1:8" ht="12.75">
      <c r="A30" s="4"/>
      <c r="B30" s="59" t="s">
        <v>143</v>
      </c>
      <c r="C30" s="42"/>
      <c r="D30" s="60"/>
      <c r="E30" s="61"/>
      <c r="F30" s="62">
        <f>+F29*G10</f>
        <v>92.96875</v>
      </c>
      <c r="G30" s="60"/>
      <c r="H30" s="62">
        <f>+H29*G10</f>
        <v>89.25</v>
      </c>
    </row>
    <row r="31" spans="1:8" ht="12.75">
      <c r="A31" s="4"/>
      <c r="B31" s="6" t="s">
        <v>144</v>
      </c>
      <c r="C31" s="63"/>
      <c r="D31" s="55"/>
      <c r="E31" s="56"/>
      <c r="F31" s="58">
        <f>+F29*G11</f>
        <v>139.453125</v>
      </c>
      <c r="G31" s="55"/>
      <c r="H31" s="58">
        <f>+H29*G11</f>
        <v>133.875</v>
      </c>
    </row>
    <row r="32" spans="1:8" ht="12.75">
      <c r="A32" s="4"/>
      <c r="D32" s="33"/>
      <c r="E32" s="33"/>
      <c r="F32" s="64" t="s">
        <v>145</v>
      </c>
      <c r="G32" s="33"/>
      <c r="H32" s="64" t="s">
        <v>145</v>
      </c>
    </row>
    <row r="33" spans="1:7" ht="12.75">
      <c r="A33" s="4"/>
      <c r="D33" s="33"/>
      <c r="E33" s="33"/>
      <c r="G33" s="33"/>
    </row>
    <row r="34" spans="1:8" ht="12.75">
      <c r="A34" s="4"/>
      <c r="B34" s="65" t="s">
        <v>146</v>
      </c>
      <c r="C34" s="65"/>
      <c r="D34" s="66"/>
      <c r="E34" s="66"/>
      <c r="F34" s="65"/>
      <c r="G34" s="66"/>
      <c r="H34" s="65"/>
    </row>
    <row r="35" spans="1:8" ht="12.75">
      <c r="A35" s="4"/>
      <c r="B35" s="65" t="s">
        <v>147</v>
      </c>
      <c r="C35" s="65"/>
      <c r="D35" s="66"/>
      <c r="E35" s="66"/>
      <c r="F35" s="65"/>
      <c r="G35" s="66"/>
      <c r="H35" s="65"/>
    </row>
    <row r="36" spans="1:7" ht="12.75">
      <c r="A36" s="4"/>
      <c r="D36" s="33"/>
      <c r="E36" s="33"/>
      <c r="G36" s="33"/>
    </row>
    <row r="37" ht="12.75">
      <c r="A37" s="4"/>
    </row>
    <row r="38" spans="1:3" ht="12.75">
      <c r="A38" s="14" t="s">
        <v>26</v>
      </c>
      <c r="B38" s="6"/>
      <c r="C38" s="6"/>
    </row>
    <row r="39" spans="1:4" ht="12.75">
      <c r="A39" s="67"/>
      <c r="B39" s="9" t="s">
        <v>132</v>
      </c>
      <c r="C39" s="9"/>
      <c r="D39" s="9"/>
    </row>
    <row r="40" spans="1:4" ht="12.75">
      <c r="A40" s="67"/>
      <c r="C40" s="9"/>
      <c r="D40" s="9"/>
    </row>
    <row r="41" spans="1:7" ht="15.75">
      <c r="A41" s="67"/>
      <c r="B41" s="9" t="s">
        <v>133</v>
      </c>
      <c r="C41" s="9"/>
      <c r="D41" s="9"/>
      <c r="E41" s="1" t="s">
        <v>134</v>
      </c>
      <c r="F41" s="68">
        <f>1.2*G10+1.6*G11</f>
        <v>1.44</v>
      </c>
      <c r="G41" s="1" t="s">
        <v>167</v>
      </c>
    </row>
    <row r="42" spans="1:7" ht="15.75">
      <c r="A42" s="67"/>
      <c r="B42" s="9" t="s">
        <v>133</v>
      </c>
      <c r="C42" s="9"/>
      <c r="D42" s="9"/>
      <c r="E42" s="1" t="s">
        <v>168</v>
      </c>
      <c r="F42" s="85">
        <v>1</v>
      </c>
      <c r="G42" s="1" t="s">
        <v>167</v>
      </c>
    </row>
    <row r="43" spans="1:9" ht="12.75">
      <c r="A43" s="4"/>
      <c r="C43" s="9"/>
      <c r="D43" s="9"/>
      <c r="F43" s="9"/>
      <c r="G43" s="44"/>
      <c r="H43" s="9"/>
      <c r="I43" s="9"/>
    </row>
    <row r="44" spans="1:5" ht="15.75">
      <c r="A44" s="14" t="s">
        <v>22</v>
      </c>
      <c r="B44" s="6"/>
      <c r="C44" s="1" t="s">
        <v>11</v>
      </c>
      <c r="D44" s="15">
        <f>+C10*(C11^3)/12</f>
        <v>0.09375</v>
      </c>
      <c r="E44" s="1" t="s">
        <v>9</v>
      </c>
    </row>
    <row r="45" spans="1:5" ht="15.75">
      <c r="A45" s="4"/>
      <c r="C45" s="1" t="s">
        <v>25</v>
      </c>
      <c r="D45" s="1">
        <f>+C10*C11</f>
        <v>4.5</v>
      </c>
      <c r="E45" s="1" t="s">
        <v>10</v>
      </c>
    </row>
    <row r="46" spans="1:5" ht="15.75">
      <c r="A46" s="4"/>
      <c r="C46" s="1" t="s">
        <v>12</v>
      </c>
      <c r="D46" s="15">
        <f>SQRT(D44/D45)</f>
        <v>0.14433756729740643</v>
      </c>
      <c r="E46" s="1" t="s">
        <v>13</v>
      </c>
    </row>
    <row r="47" ht="12.75">
      <c r="A47" s="4"/>
    </row>
    <row r="48" spans="1:3" ht="12.75">
      <c r="A48" s="14" t="s">
        <v>24</v>
      </c>
      <c r="B48" s="6"/>
      <c r="C48" s="6"/>
    </row>
    <row r="49" spans="3:4" ht="12.75">
      <c r="C49" s="1" t="s">
        <v>17</v>
      </c>
      <c r="D49" s="16">
        <f>+C9*12/D46</f>
        <v>166.27687752661222</v>
      </c>
    </row>
    <row r="50" spans="3:5" ht="12.75">
      <c r="C50" s="1" t="s">
        <v>16</v>
      </c>
      <c r="D50" s="15">
        <f>+D49/300</f>
        <v>0.5542562584220407</v>
      </c>
      <c r="E50" s="1" t="str">
        <f>IF(D50&lt;=1,"Limit State Statisfied","No Good")</f>
        <v>Limit State Statisfied</v>
      </c>
    </row>
    <row r="52" spans="1:3" ht="12.75">
      <c r="A52" s="14" t="s">
        <v>23</v>
      </c>
      <c r="B52" s="6"/>
      <c r="C52" s="6"/>
    </row>
    <row r="54" spans="2:4" ht="15.75">
      <c r="B54" s="1" t="s">
        <v>31</v>
      </c>
      <c r="C54" s="1">
        <f>+C7*D45</f>
        <v>225</v>
      </c>
      <c r="D54" s="1" t="s">
        <v>21</v>
      </c>
    </row>
    <row r="55" spans="10:11" ht="12.75">
      <c r="J55" s="9"/>
      <c r="K55" s="9"/>
    </row>
    <row r="56" spans="1:11" ht="12.75">
      <c r="A56" s="6" t="s">
        <v>33</v>
      </c>
      <c r="B56" s="6"/>
      <c r="C56" s="6"/>
      <c r="D56" s="6"/>
      <c r="F56" s="6" t="s">
        <v>34</v>
      </c>
      <c r="G56" s="6"/>
      <c r="H56" s="6"/>
      <c r="I56" s="6"/>
      <c r="J56" s="9"/>
      <c r="K56" s="9"/>
    </row>
    <row r="57" spans="1:11" ht="15.75">
      <c r="A57" s="17" t="s">
        <v>35</v>
      </c>
      <c r="B57" s="1">
        <v>0.9</v>
      </c>
      <c r="F57" s="17" t="s">
        <v>36</v>
      </c>
      <c r="H57" s="1">
        <v>1.67</v>
      </c>
      <c r="J57" s="9"/>
      <c r="K57" s="9"/>
    </row>
    <row r="58" spans="1:11" ht="15.75">
      <c r="A58" s="17" t="s">
        <v>37</v>
      </c>
      <c r="B58" s="16">
        <f>+B57*C54</f>
        <v>202.5</v>
      </c>
      <c r="C58" s="1" t="s">
        <v>21</v>
      </c>
      <c r="F58" s="1" t="s">
        <v>38</v>
      </c>
      <c r="H58" s="16">
        <f>+C54/H57</f>
        <v>134.7305389221557</v>
      </c>
      <c r="I58" s="1" t="s">
        <v>21</v>
      </c>
      <c r="J58" s="9"/>
      <c r="K58" s="9"/>
    </row>
    <row r="59" spans="10:11" ht="12.75">
      <c r="J59" s="9"/>
      <c r="K59" s="9"/>
    </row>
    <row r="60" spans="1:3" ht="12.75">
      <c r="A60" s="14" t="s">
        <v>64</v>
      </c>
      <c r="B60" s="6"/>
      <c r="C60" s="6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C71" s="1" t="s">
        <v>126</v>
      </c>
    </row>
    <row r="72" spans="5:10" ht="14.25">
      <c r="E72" s="10" t="s">
        <v>46</v>
      </c>
      <c r="F72" s="10" t="s">
        <v>47</v>
      </c>
      <c r="G72" s="10" t="s">
        <v>61</v>
      </c>
      <c r="H72" s="10" t="s">
        <v>51</v>
      </c>
      <c r="I72" s="10" t="s">
        <v>52</v>
      </c>
      <c r="J72" s="10" t="s">
        <v>53</v>
      </c>
    </row>
    <row r="73" spans="5:10" ht="14.25">
      <c r="E73" s="12" t="s">
        <v>57</v>
      </c>
      <c r="F73" s="12" t="s">
        <v>57</v>
      </c>
      <c r="G73" s="12"/>
      <c r="H73" s="12" t="s">
        <v>57</v>
      </c>
      <c r="I73" s="12" t="s">
        <v>57</v>
      </c>
      <c r="J73" s="12" t="s">
        <v>58</v>
      </c>
    </row>
    <row r="74" spans="3:10" ht="12.75">
      <c r="C74" s="1" t="s">
        <v>45</v>
      </c>
      <c r="E74" s="37">
        <v>0</v>
      </c>
      <c r="F74" s="37">
        <v>1.5</v>
      </c>
      <c r="G74" s="18">
        <f>+(E74^2)/4/F74</f>
        <v>0</v>
      </c>
      <c r="H74" s="18">
        <f>+F74+G74</f>
        <v>1.5</v>
      </c>
      <c r="I74" s="18">
        <f>+C11</f>
        <v>0.5</v>
      </c>
      <c r="J74" s="18">
        <f>+H74*I74</f>
        <v>0.75</v>
      </c>
    </row>
    <row r="75" spans="3:10" ht="12.75">
      <c r="C75" s="1" t="s">
        <v>48</v>
      </c>
      <c r="E75" s="38">
        <v>0</v>
      </c>
      <c r="F75" s="38">
        <v>6</v>
      </c>
      <c r="G75" s="19">
        <f>+(E75^2)/4/F75</f>
        <v>0</v>
      </c>
      <c r="H75" s="19">
        <f>+F75+G75</f>
        <v>6</v>
      </c>
      <c r="I75" s="19">
        <f>+I74</f>
        <v>0.5</v>
      </c>
      <c r="J75" s="19">
        <f>+H75*I75</f>
        <v>3</v>
      </c>
    </row>
    <row r="76" spans="3:10" ht="12.75">
      <c r="C76" s="1" t="s">
        <v>49</v>
      </c>
      <c r="E76" s="38">
        <v>0</v>
      </c>
      <c r="F76" s="38">
        <v>1.5</v>
      </c>
      <c r="G76" s="19">
        <f>+(E76^2)/4/F76</f>
        <v>0</v>
      </c>
      <c r="H76" s="19">
        <f>+F76+G76</f>
        <v>1.5</v>
      </c>
      <c r="I76" s="19">
        <f>+I75</f>
        <v>0.5</v>
      </c>
      <c r="J76" s="19">
        <f>+H76*I76</f>
        <v>0.75</v>
      </c>
    </row>
    <row r="77" spans="3:10" ht="12.75">
      <c r="C77" s="1" t="s">
        <v>54</v>
      </c>
      <c r="E77" s="21"/>
      <c r="F77" s="21"/>
      <c r="G77" s="21"/>
      <c r="H77" s="19">
        <f>-(0.125+C12)</f>
        <v>-1</v>
      </c>
      <c r="I77" s="19">
        <f>+I76</f>
        <v>0.5</v>
      </c>
      <c r="J77" s="19">
        <f>+H77*I77</f>
        <v>-0.5</v>
      </c>
    </row>
    <row r="78" spans="3:10" ht="12.75">
      <c r="C78" s="1" t="s">
        <v>56</v>
      </c>
      <c r="E78" s="23"/>
      <c r="F78" s="23"/>
      <c r="G78" s="23"/>
      <c r="H78" s="24">
        <f>+H77</f>
        <v>-1</v>
      </c>
      <c r="I78" s="24">
        <f>+I77</f>
        <v>0.5</v>
      </c>
      <c r="J78" s="24">
        <f>+H78*I78</f>
        <v>-0.5</v>
      </c>
    </row>
    <row r="79" spans="3:10" ht="12.75">
      <c r="C79" s="1" t="s">
        <v>59</v>
      </c>
      <c r="J79" s="8">
        <f>SUM(J74:J78)</f>
        <v>3.5</v>
      </c>
    </row>
    <row r="81" ht="12.75">
      <c r="C81" s="1" t="s">
        <v>43</v>
      </c>
    </row>
    <row r="82" spans="5:10" ht="14.25">
      <c r="E82" s="10" t="s">
        <v>46</v>
      </c>
      <c r="F82" s="10" t="s">
        <v>47</v>
      </c>
      <c r="G82" s="10" t="s">
        <v>61</v>
      </c>
      <c r="H82" s="10" t="s">
        <v>51</v>
      </c>
      <c r="I82" s="10" t="s">
        <v>52</v>
      </c>
      <c r="J82" s="10" t="s">
        <v>53</v>
      </c>
    </row>
    <row r="83" spans="5:10" ht="14.25">
      <c r="E83" s="12" t="s">
        <v>57</v>
      </c>
      <c r="F83" s="12" t="s">
        <v>57</v>
      </c>
      <c r="G83" s="12"/>
      <c r="H83" s="12" t="s">
        <v>57</v>
      </c>
      <c r="I83" s="12" t="s">
        <v>57</v>
      </c>
      <c r="J83" s="12" t="s">
        <v>58</v>
      </c>
    </row>
    <row r="84" spans="3:10" ht="12.75">
      <c r="C84" s="1" t="s">
        <v>45</v>
      </c>
      <c r="E84" s="37">
        <v>0</v>
      </c>
      <c r="F84" s="37">
        <v>1.5</v>
      </c>
      <c r="G84" s="18">
        <f>+(E84^2)/4/F84</f>
        <v>0</v>
      </c>
      <c r="H84" s="18">
        <f>+F84+G84</f>
        <v>1.5</v>
      </c>
      <c r="I84" s="18">
        <f>+C11</f>
        <v>0.5</v>
      </c>
      <c r="J84" s="18">
        <f aca="true" t="shared" si="1" ref="J84:J90">+H84*I84</f>
        <v>0.75</v>
      </c>
    </row>
    <row r="85" spans="3:10" ht="12.75">
      <c r="C85" s="1" t="s">
        <v>48</v>
      </c>
      <c r="E85" s="38">
        <v>1.5</v>
      </c>
      <c r="F85" s="38">
        <v>3</v>
      </c>
      <c r="G85" s="19">
        <f>+(E85^2)/4/F85</f>
        <v>0.1875</v>
      </c>
      <c r="H85" s="19">
        <f>+F85+G85</f>
        <v>3.1875</v>
      </c>
      <c r="I85" s="19">
        <f aca="true" t="shared" si="2" ref="I85:I90">+I84</f>
        <v>0.5</v>
      </c>
      <c r="J85" s="19">
        <f t="shared" si="1"/>
        <v>1.59375</v>
      </c>
    </row>
    <row r="86" spans="3:10" ht="12.75">
      <c r="C86" s="1" t="s">
        <v>49</v>
      </c>
      <c r="E86" s="38">
        <v>1.5</v>
      </c>
      <c r="F86" s="38">
        <v>3</v>
      </c>
      <c r="G86" s="19">
        <f>+(E86^2)/4/F86</f>
        <v>0.1875</v>
      </c>
      <c r="H86" s="19">
        <f>+F86+G86</f>
        <v>3.1875</v>
      </c>
      <c r="I86" s="19">
        <f t="shared" si="2"/>
        <v>0.5</v>
      </c>
      <c r="J86" s="19">
        <f t="shared" si="1"/>
        <v>1.59375</v>
      </c>
    </row>
    <row r="87" spans="3:10" ht="12.75">
      <c r="C87" s="1" t="s">
        <v>50</v>
      </c>
      <c r="E87" s="38">
        <v>0</v>
      </c>
      <c r="F87" s="38">
        <v>1.5</v>
      </c>
      <c r="G87" s="19">
        <f>+(E87^2)/4/F87</f>
        <v>0</v>
      </c>
      <c r="H87" s="19">
        <f>+F87+G87</f>
        <v>1.5</v>
      </c>
      <c r="I87" s="19">
        <f t="shared" si="2"/>
        <v>0.5</v>
      </c>
      <c r="J87" s="19">
        <f t="shared" si="1"/>
        <v>0.75</v>
      </c>
    </row>
    <row r="88" spans="3:10" ht="12.75">
      <c r="C88" s="1" t="s">
        <v>54</v>
      </c>
      <c r="E88" s="21"/>
      <c r="F88" s="21"/>
      <c r="G88" s="21"/>
      <c r="H88" s="19">
        <f>-(0.125+C12)</f>
        <v>-1</v>
      </c>
      <c r="I88" s="19">
        <f t="shared" si="2"/>
        <v>0.5</v>
      </c>
      <c r="J88" s="19">
        <f t="shared" si="1"/>
        <v>-0.5</v>
      </c>
    </row>
    <row r="89" spans="3:10" ht="12.75">
      <c r="C89" s="1" t="s">
        <v>55</v>
      </c>
      <c r="E89" s="21"/>
      <c r="F89" s="21"/>
      <c r="G89" s="21"/>
      <c r="H89" s="19">
        <f>+H88</f>
        <v>-1</v>
      </c>
      <c r="I89" s="19">
        <f t="shared" si="2"/>
        <v>0.5</v>
      </c>
      <c r="J89" s="19">
        <f t="shared" si="1"/>
        <v>-0.5</v>
      </c>
    </row>
    <row r="90" spans="3:10" ht="12.75">
      <c r="C90" s="1" t="s">
        <v>56</v>
      </c>
      <c r="E90" s="23"/>
      <c r="F90" s="23"/>
      <c r="G90" s="23"/>
      <c r="H90" s="24">
        <f>+H89</f>
        <v>-1</v>
      </c>
      <c r="I90" s="24">
        <f t="shared" si="2"/>
        <v>0.5</v>
      </c>
      <c r="J90" s="24">
        <f t="shared" si="1"/>
        <v>-0.5</v>
      </c>
    </row>
    <row r="91" spans="3:10" ht="12.75">
      <c r="C91" s="1" t="s">
        <v>59</v>
      </c>
      <c r="J91" s="8">
        <f>SUM(J84:J90)</f>
        <v>3.1875</v>
      </c>
    </row>
    <row r="93" spans="2:5" ht="15.75">
      <c r="B93" s="1" t="s">
        <v>148</v>
      </c>
      <c r="D93" s="15">
        <f>0.85*D45</f>
        <v>3.8249999999999997</v>
      </c>
      <c r="E93" s="1" t="s">
        <v>149</v>
      </c>
    </row>
    <row r="95" spans="2:5" ht="15.75">
      <c r="B95" s="1" t="s">
        <v>62</v>
      </c>
      <c r="D95" s="15">
        <f>MIN(J79,J91,D93)</f>
        <v>3.1875</v>
      </c>
      <c r="E95" s="1" t="s">
        <v>60</v>
      </c>
    </row>
    <row r="96" spans="3:4" ht="12.75">
      <c r="C96" s="1" t="s">
        <v>137</v>
      </c>
      <c r="D96" s="1">
        <v>1</v>
      </c>
    </row>
    <row r="97" spans="3:5" ht="15.75">
      <c r="C97" s="1" t="s">
        <v>138</v>
      </c>
      <c r="D97" s="15">
        <f>+D95*D96</f>
        <v>3.1875</v>
      </c>
      <c r="E97" s="1" t="s">
        <v>60</v>
      </c>
    </row>
    <row r="99" spans="2:4" ht="15.75">
      <c r="B99" s="1" t="s">
        <v>31</v>
      </c>
      <c r="C99" s="27">
        <f>+D97*C8</f>
        <v>223.125</v>
      </c>
      <c r="D99" s="1" t="s">
        <v>21</v>
      </c>
    </row>
    <row r="101" spans="1:10" ht="12.75">
      <c r="A101" s="6" t="s">
        <v>33</v>
      </c>
      <c r="B101" s="6"/>
      <c r="C101" s="6"/>
      <c r="D101" s="6"/>
      <c r="F101" s="6" t="s">
        <v>34</v>
      </c>
      <c r="G101" s="6"/>
      <c r="H101" s="6"/>
      <c r="I101" s="6"/>
      <c r="J101" s="6"/>
    </row>
    <row r="102" spans="1:8" ht="15.75">
      <c r="A102" s="17" t="s">
        <v>35</v>
      </c>
      <c r="B102" s="1">
        <v>0.75</v>
      </c>
      <c r="F102" s="17" t="s">
        <v>36</v>
      </c>
      <c r="H102" s="1">
        <v>2</v>
      </c>
    </row>
    <row r="103" spans="1:9" ht="15.75">
      <c r="A103" s="17" t="s">
        <v>37</v>
      </c>
      <c r="B103" s="16">
        <f>+B102*C99</f>
        <v>167.34375</v>
      </c>
      <c r="C103" s="1" t="s">
        <v>21</v>
      </c>
      <c r="F103" s="1" t="s">
        <v>38</v>
      </c>
      <c r="H103" s="16">
        <f>+C99/H102</f>
        <v>111.5625</v>
      </c>
      <c r="I103" s="1" t="s">
        <v>21</v>
      </c>
    </row>
    <row r="105" spans="1:3" ht="12.75">
      <c r="A105" s="14" t="s">
        <v>65</v>
      </c>
      <c r="B105" s="6"/>
      <c r="C105" s="6"/>
    </row>
    <row r="106" ht="12.75">
      <c r="A106" s="28"/>
    </row>
    <row r="107" spans="1:2" ht="12.75">
      <c r="A107" s="28"/>
      <c r="B107" s="1" t="s">
        <v>130</v>
      </c>
    </row>
    <row r="108" spans="1:2" ht="12.75">
      <c r="A108" s="28"/>
      <c r="B108" s="1" t="s">
        <v>131</v>
      </c>
    </row>
    <row r="109" ht="12.75">
      <c r="A109" s="28"/>
    </row>
    <row r="110" spans="1:2" ht="12.75">
      <c r="A110" s="28"/>
      <c r="B110" s="2"/>
    </row>
    <row r="111" ht="12.75">
      <c r="A111" s="28"/>
    </row>
    <row r="112" ht="12.75">
      <c r="A112" s="28"/>
    </row>
    <row r="113" ht="12.75">
      <c r="A113" s="28"/>
    </row>
    <row r="114" ht="12.75">
      <c r="A114" s="28"/>
    </row>
    <row r="115" ht="12.75">
      <c r="A115" s="28"/>
    </row>
    <row r="116" ht="12.75">
      <c r="A116" s="28"/>
    </row>
    <row r="117" spans="2:4" ht="15.75">
      <c r="B117" s="1" t="s">
        <v>74</v>
      </c>
      <c r="C117" s="1">
        <f>+C11</f>
        <v>0.5</v>
      </c>
      <c r="D117" s="1" t="s">
        <v>4</v>
      </c>
    </row>
    <row r="118" spans="2:4" ht="15.75">
      <c r="B118" s="1" t="s">
        <v>42</v>
      </c>
      <c r="C118" s="1">
        <f>+C12</f>
        <v>0.875</v>
      </c>
      <c r="D118" s="1" t="s">
        <v>4</v>
      </c>
    </row>
    <row r="120" spans="2:8" ht="12.75">
      <c r="B120" s="1" t="s">
        <v>66</v>
      </c>
      <c r="D120" s="10" t="s">
        <v>71</v>
      </c>
      <c r="E120" s="10" t="s">
        <v>70</v>
      </c>
      <c r="F120" s="10" t="s">
        <v>72</v>
      </c>
      <c r="G120" s="10"/>
      <c r="H120" s="10"/>
    </row>
    <row r="121" spans="4:8" ht="12.75">
      <c r="D121" s="10" t="s">
        <v>68</v>
      </c>
      <c r="E121" s="10" t="s">
        <v>69</v>
      </c>
      <c r="F121" s="10" t="s">
        <v>68</v>
      </c>
      <c r="G121" s="10" t="s">
        <v>67</v>
      </c>
      <c r="H121" s="10" t="s">
        <v>53</v>
      </c>
    </row>
    <row r="122" spans="4:8" ht="12.75">
      <c r="D122" s="12" t="s">
        <v>57</v>
      </c>
      <c r="E122" s="12"/>
      <c r="F122" s="12" t="s">
        <v>57</v>
      </c>
      <c r="G122" s="12"/>
      <c r="H122" s="12" t="s">
        <v>73</v>
      </c>
    </row>
    <row r="123" spans="3:8" ht="15.75">
      <c r="C123" s="1" t="s">
        <v>110</v>
      </c>
      <c r="D123" s="71">
        <v>10.5</v>
      </c>
      <c r="E123" s="71">
        <v>0</v>
      </c>
      <c r="F123" s="8">
        <f>+D123-E123*(C118+0.125)</f>
        <v>10.5</v>
      </c>
      <c r="G123" s="8">
        <v>2</v>
      </c>
      <c r="H123" s="8">
        <f>+G123*F123*C117</f>
        <v>10.5</v>
      </c>
    </row>
    <row r="124" spans="3:8" ht="15.75">
      <c r="C124" s="1" t="s">
        <v>111</v>
      </c>
      <c r="D124" s="71">
        <v>10.5</v>
      </c>
      <c r="E124" s="71">
        <v>3.5</v>
      </c>
      <c r="F124" s="8">
        <f>+D124-E124*(C118+0.125)</f>
        <v>7</v>
      </c>
      <c r="G124" s="8">
        <v>2</v>
      </c>
      <c r="H124" s="8">
        <f>+G124*F124*C117</f>
        <v>7</v>
      </c>
    </row>
    <row r="125" spans="3:8" ht="15.75">
      <c r="C125" s="1" t="s">
        <v>112</v>
      </c>
      <c r="D125" s="71">
        <v>6</v>
      </c>
      <c r="E125" s="71">
        <v>1</v>
      </c>
      <c r="F125" s="8">
        <f>+D125-E125*(C118+0.125)</f>
        <v>5</v>
      </c>
      <c r="G125" s="8">
        <v>1</v>
      </c>
      <c r="H125" s="8">
        <f>+G125*F125*C117</f>
        <v>2.5</v>
      </c>
    </row>
    <row r="127" spans="3:4" ht="15.75">
      <c r="C127" s="1" t="s">
        <v>113</v>
      </c>
      <c r="D127" s="29">
        <v>1</v>
      </c>
    </row>
    <row r="128" ht="12.75">
      <c r="D128" s="29"/>
    </row>
    <row r="129" spans="4:6" ht="12.75">
      <c r="D129" s="29" t="s">
        <v>76</v>
      </c>
      <c r="E129" s="10" t="s">
        <v>76</v>
      </c>
      <c r="F129" s="10" t="s">
        <v>79</v>
      </c>
    </row>
    <row r="130" spans="4:6" ht="12.75">
      <c r="D130" s="29" t="s">
        <v>77</v>
      </c>
      <c r="E130" s="10" t="s">
        <v>78</v>
      </c>
      <c r="F130" s="10"/>
    </row>
    <row r="131" spans="4:6" ht="12.75">
      <c r="D131" s="30" t="s">
        <v>80</v>
      </c>
      <c r="E131" s="12" t="s">
        <v>80</v>
      </c>
      <c r="F131" s="12" t="s">
        <v>80</v>
      </c>
    </row>
    <row r="132" spans="3:6" ht="15.75">
      <c r="C132" s="1" t="s">
        <v>86</v>
      </c>
      <c r="D132" s="29">
        <f>0.6*C8*H124+D127*C8*H125</f>
        <v>469</v>
      </c>
      <c r="E132" s="29">
        <f>0.6*C7*H123+D127*C8*H125</f>
        <v>490</v>
      </c>
      <c r="F132" s="29">
        <f>MIN(D132,E132)</f>
        <v>469</v>
      </c>
    </row>
    <row r="134" spans="2:8" ht="12.75">
      <c r="B134" s="1" t="s">
        <v>75</v>
      </c>
      <c r="D134" s="10" t="s">
        <v>71</v>
      </c>
      <c r="E134" s="10" t="s">
        <v>70</v>
      </c>
      <c r="F134" s="10" t="s">
        <v>72</v>
      </c>
      <c r="G134" s="10"/>
      <c r="H134" s="10"/>
    </row>
    <row r="135" spans="4:8" ht="12.75">
      <c r="D135" s="10" t="s">
        <v>68</v>
      </c>
      <c r="E135" s="10" t="s">
        <v>69</v>
      </c>
      <c r="F135" s="10" t="s">
        <v>68</v>
      </c>
      <c r="G135" s="10" t="s">
        <v>67</v>
      </c>
      <c r="H135" s="10" t="s">
        <v>53</v>
      </c>
    </row>
    <row r="136" spans="4:8" ht="12.75">
      <c r="D136" s="12" t="s">
        <v>57</v>
      </c>
      <c r="E136" s="12"/>
      <c r="F136" s="12" t="s">
        <v>57</v>
      </c>
      <c r="G136" s="12"/>
      <c r="H136" s="12" t="s">
        <v>73</v>
      </c>
    </row>
    <row r="137" spans="3:8" ht="15.75">
      <c r="C137" s="1" t="s">
        <v>110</v>
      </c>
      <c r="D137" s="71">
        <v>10.5</v>
      </c>
      <c r="E137" s="71">
        <v>0</v>
      </c>
      <c r="F137" s="8">
        <f>+D137-E137*(C118+0.125)</f>
        <v>10.5</v>
      </c>
      <c r="G137" s="8">
        <v>1</v>
      </c>
      <c r="H137" s="8">
        <f>+G137*F137*C117</f>
        <v>5.25</v>
      </c>
    </row>
    <row r="138" spans="3:8" ht="15.75">
      <c r="C138" s="1" t="s">
        <v>111</v>
      </c>
      <c r="D138" s="71">
        <v>10.5</v>
      </c>
      <c r="E138" s="71">
        <v>3.5</v>
      </c>
      <c r="F138" s="8">
        <f>+D138-E138*(C118+0.125)</f>
        <v>7</v>
      </c>
      <c r="G138" s="8">
        <v>1</v>
      </c>
      <c r="H138" s="8">
        <f>+G138*F138*C117</f>
        <v>3.5</v>
      </c>
    </row>
    <row r="139" spans="3:8" ht="15.75">
      <c r="C139" s="1" t="s">
        <v>112</v>
      </c>
      <c r="D139" s="71">
        <v>7.5</v>
      </c>
      <c r="E139" s="71">
        <v>1.5</v>
      </c>
      <c r="F139" s="8">
        <f>+D139-E139*(C118+0.125)</f>
        <v>6</v>
      </c>
      <c r="G139" s="8">
        <v>1</v>
      </c>
      <c r="H139" s="8">
        <f>+G139*F139*C117</f>
        <v>3</v>
      </c>
    </row>
    <row r="141" spans="3:4" ht="15.75">
      <c r="C141" s="1" t="s">
        <v>113</v>
      </c>
      <c r="D141" s="29">
        <v>0.5</v>
      </c>
    </row>
    <row r="142" ht="12.75">
      <c r="D142" s="29"/>
    </row>
    <row r="143" spans="4:6" ht="12.75">
      <c r="D143" s="29" t="s">
        <v>76</v>
      </c>
      <c r="E143" s="10" t="s">
        <v>76</v>
      </c>
      <c r="F143" s="10" t="s">
        <v>79</v>
      </c>
    </row>
    <row r="144" spans="4:6" ht="12.75">
      <c r="D144" s="29" t="s">
        <v>77</v>
      </c>
      <c r="E144" s="10" t="s">
        <v>78</v>
      </c>
      <c r="F144" s="10"/>
    </row>
    <row r="145" spans="4:6" ht="12.75">
      <c r="D145" s="30" t="s">
        <v>80</v>
      </c>
      <c r="E145" s="12" t="s">
        <v>80</v>
      </c>
      <c r="F145" s="12" t="s">
        <v>80</v>
      </c>
    </row>
    <row r="146" spans="3:6" ht="15.75">
      <c r="C146" s="1" t="s">
        <v>86</v>
      </c>
      <c r="D146" s="29">
        <f>0.6*C8*H138+D141*C8*H139</f>
        <v>252</v>
      </c>
      <c r="E146" s="29">
        <f>0.6*C7*H137+D141*C8*H139</f>
        <v>262.5</v>
      </c>
      <c r="F146" s="29">
        <f>MIN(D146,E146)</f>
        <v>252</v>
      </c>
    </row>
    <row r="147" spans="4:6" ht="12.75">
      <c r="D147" s="29"/>
      <c r="E147" s="29"/>
      <c r="F147" s="29"/>
    </row>
    <row r="148" spans="3:6" ht="15.75">
      <c r="C148" s="1" t="s">
        <v>87</v>
      </c>
      <c r="D148" s="29"/>
      <c r="E148" s="31">
        <f>MIN(F132,F146)</f>
        <v>252</v>
      </c>
      <c r="F148" s="31" t="s">
        <v>83</v>
      </c>
    </row>
    <row r="150" spans="1:10" ht="12.75">
      <c r="A150" s="6" t="s">
        <v>33</v>
      </c>
      <c r="B150" s="6"/>
      <c r="C150" s="6"/>
      <c r="D150" s="6"/>
      <c r="F150" s="6" t="s">
        <v>34</v>
      </c>
      <c r="G150" s="6"/>
      <c r="H150" s="6"/>
      <c r="I150" s="6"/>
      <c r="J150" s="6"/>
    </row>
    <row r="151" spans="1:8" ht="15.75">
      <c r="A151" s="17" t="s">
        <v>35</v>
      </c>
      <c r="B151" s="1">
        <v>0.75</v>
      </c>
      <c r="F151" s="17" t="s">
        <v>36</v>
      </c>
      <c r="H151" s="1">
        <v>2</v>
      </c>
    </row>
    <row r="152" spans="1:9" ht="15.75">
      <c r="A152" s="17" t="s">
        <v>81</v>
      </c>
      <c r="B152" s="16">
        <f>+B151*E148</f>
        <v>189</v>
      </c>
      <c r="C152" s="1" t="s">
        <v>21</v>
      </c>
      <c r="F152" s="1" t="s">
        <v>82</v>
      </c>
      <c r="H152" s="16">
        <f>+E148/H151</f>
        <v>126</v>
      </c>
      <c r="I152" s="1" t="s">
        <v>21</v>
      </c>
    </row>
    <row r="154" spans="1:2" ht="12.75">
      <c r="A154" s="14" t="s">
        <v>84</v>
      </c>
      <c r="B154" s="6"/>
    </row>
    <row r="155" ht="12.75">
      <c r="B155" s="1" t="s">
        <v>88</v>
      </c>
    </row>
    <row r="156" ht="12.75">
      <c r="B156" s="1" t="s">
        <v>89</v>
      </c>
    </row>
    <row r="158" spans="2:7" ht="15.75">
      <c r="B158" s="1" t="s">
        <v>74</v>
      </c>
      <c r="C158" s="1">
        <f>+C11</f>
        <v>0.5</v>
      </c>
      <c r="D158" s="1" t="s">
        <v>4</v>
      </c>
      <c r="E158" s="1" t="s">
        <v>85</v>
      </c>
      <c r="F158" s="1">
        <f>1.5-(C159+0.125)/2</f>
        <v>1</v>
      </c>
      <c r="G158" s="1" t="s">
        <v>4</v>
      </c>
    </row>
    <row r="159" spans="2:7" ht="15.75">
      <c r="B159" s="1" t="s">
        <v>42</v>
      </c>
      <c r="C159" s="1">
        <f>+C12</f>
        <v>0.875</v>
      </c>
      <c r="D159" s="1" t="s">
        <v>4</v>
      </c>
      <c r="E159" s="1" t="s">
        <v>95</v>
      </c>
      <c r="F159" s="1">
        <v>11</v>
      </c>
      <c r="G159" s="1" t="s">
        <v>96</v>
      </c>
    </row>
    <row r="161" spans="4:7" ht="12.75">
      <c r="D161" s="29" t="s">
        <v>90</v>
      </c>
      <c r="E161" s="10" t="s">
        <v>92</v>
      </c>
      <c r="F161" s="10" t="s">
        <v>79</v>
      </c>
      <c r="G161" s="10" t="s">
        <v>79</v>
      </c>
    </row>
    <row r="162" spans="4:7" ht="12.75">
      <c r="D162" s="29" t="s">
        <v>91</v>
      </c>
      <c r="E162" s="10" t="s">
        <v>93</v>
      </c>
      <c r="F162" s="10"/>
      <c r="G162" s="10"/>
    </row>
    <row r="163" spans="4:7" ht="12.75">
      <c r="D163" s="30" t="s">
        <v>94</v>
      </c>
      <c r="E163" s="30" t="s">
        <v>94</v>
      </c>
      <c r="F163" s="30" t="s">
        <v>94</v>
      </c>
      <c r="G163" s="32" t="s">
        <v>80</v>
      </c>
    </row>
    <row r="164" spans="3:7" ht="15.75">
      <c r="C164" s="1" t="s">
        <v>114</v>
      </c>
      <c r="D164" s="72">
        <v>1.5</v>
      </c>
      <c r="E164" s="72">
        <v>3</v>
      </c>
      <c r="F164" s="33"/>
      <c r="G164" s="34"/>
    </row>
    <row r="165" spans="3:7" ht="15.75">
      <c r="C165" s="1" t="s">
        <v>86</v>
      </c>
      <c r="D165" s="29">
        <f>D164*F158*C158*C8</f>
        <v>52.5</v>
      </c>
      <c r="E165" s="29">
        <f>E164*C159*C158*C8</f>
        <v>91.875</v>
      </c>
      <c r="F165" s="29">
        <f>MIN(D165,E165)</f>
        <v>52.5</v>
      </c>
      <c r="G165" s="29">
        <f>+F165*F159</f>
        <v>577.5</v>
      </c>
    </row>
    <row r="167" spans="1:10" ht="12.75">
      <c r="A167" s="6" t="s">
        <v>33</v>
      </c>
      <c r="B167" s="6"/>
      <c r="C167" s="6"/>
      <c r="D167" s="6"/>
      <c r="F167" s="6" t="s">
        <v>34</v>
      </c>
      <c r="G167" s="6"/>
      <c r="H167" s="6"/>
      <c r="I167" s="6"/>
      <c r="J167" s="6"/>
    </row>
    <row r="168" spans="1:8" ht="15.75">
      <c r="A168" s="17" t="s">
        <v>35</v>
      </c>
      <c r="B168" s="1">
        <v>0.75</v>
      </c>
      <c r="F168" s="17" t="s">
        <v>36</v>
      </c>
      <c r="H168" s="1">
        <v>2</v>
      </c>
    </row>
    <row r="169" spans="1:9" ht="15.75">
      <c r="A169" s="17" t="s">
        <v>81</v>
      </c>
      <c r="B169" s="16">
        <f>+B168*G165</f>
        <v>433.125</v>
      </c>
      <c r="C169" s="1" t="s">
        <v>21</v>
      </c>
      <c r="F169" s="1" t="s">
        <v>82</v>
      </c>
      <c r="H169" s="16">
        <f>+G165/H168</f>
        <v>288.75</v>
      </c>
      <c r="I169" s="1" t="s">
        <v>21</v>
      </c>
    </row>
    <row r="170" spans="1:8" ht="12.75">
      <c r="A170" s="17"/>
      <c r="B170" s="16"/>
      <c r="H170" s="16"/>
    </row>
  </sheetData>
  <sheetProtection password="C71E" sheet="1"/>
  <conditionalFormatting sqref="D50">
    <cfRule type="cellIs" priority="1" dxfId="1" operator="lessThanOrEqual" stopIfTrue="1">
      <formula>1</formula>
    </cfRule>
    <cfRule type="cellIs" priority="2" dxfId="0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AutoCAD.Drawing.16" shapeId="238009" r:id="rId1"/>
    <oleObject progId="AutoCAD.Drawing.16" shapeId="24123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7" width="9.140625" style="1" customWidth="1"/>
    <col min="8" max="8" width="10.57421875" style="1" bestFit="1" customWidth="1"/>
    <col min="9" max="16384" width="9.140625" style="1" customWidth="1"/>
  </cols>
  <sheetData>
    <row r="1" spans="1:8" ht="12.75">
      <c r="A1" s="1" t="s">
        <v>0</v>
      </c>
      <c r="H1" s="1" t="s">
        <v>162</v>
      </c>
    </row>
    <row r="2" spans="1:8" ht="12.75">
      <c r="A2" s="2" t="s">
        <v>164</v>
      </c>
      <c r="H2" s="1" t="s">
        <v>163</v>
      </c>
    </row>
    <row r="4" spans="1:2" ht="12.75">
      <c r="A4" s="2" t="s">
        <v>1</v>
      </c>
      <c r="B4" s="1" t="s">
        <v>150</v>
      </c>
    </row>
    <row r="5" ht="12.75">
      <c r="B5" s="1" t="s">
        <v>123</v>
      </c>
    </row>
    <row r="7" spans="2:4" ht="15.75">
      <c r="B7" s="1" t="s">
        <v>32</v>
      </c>
      <c r="C7" s="36">
        <v>50</v>
      </c>
      <c r="D7" s="1" t="s">
        <v>161</v>
      </c>
    </row>
    <row r="8" spans="2:4" ht="15.75">
      <c r="B8" s="1" t="s">
        <v>63</v>
      </c>
      <c r="C8" s="36">
        <v>70</v>
      </c>
      <c r="D8" s="1" t="s">
        <v>161</v>
      </c>
    </row>
    <row r="9" spans="2:4" ht="12.75">
      <c r="B9" s="1" t="s">
        <v>14</v>
      </c>
      <c r="C9" s="36" t="s">
        <v>151</v>
      </c>
      <c r="D9" s="1" t="s">
        <v>15</v>
      </c>
    </row>
    <row r="10" spans="2:9" ht="15.75">
      <c r="B10" s="1" t="s">
        <v>25</v>
      </c>
      <c r="C10" s="36">
        <v>9.11</v>
      </c>
      <c r="D10" s="1" t="s">
        <v>10</v>
      </c>
      <c r="E10" s="1" t="s">
        <v>18</v>
      </c>
      <c r="F10" s="1" t="s">
        <v>19</v>
      </c>
      <c r="G10" s="70">
        <v>0.4</v>
      </c>
      <c r="H10" s="1" t="s">
        <v>125</v>
      </c>
      <c r="I10" s="3"/>
    </row>
    <row r="11" spans="2:9" ht="15.75">
      <c r="B11" s="1" t="s">
        <v>153</v>
      </c>
      <c r="C11" s="69">
        <v>0.43</v>
      </c>
      <c r="D11" s="1" t="s">
        <v>4</v>
      </c>
      <c r="F11" s="1" t="s">
        <v>129</v>
      </c>
      <c r="G11" s="3">
        <f>1-G10</f>
        <v>0.6</v>
      </c>
      <c r="H11" s="1" t="s">
        <v>125</v>
      </c>
      <c r="I11" s="3"/>
    </row>
    <row r="12" spans="2:4" ht="15.75">
      <c r="B12" s="1" t="s">
        <v>12</v>
      </c>
      <c r="C12" s="69">
        <v>1.38</v>
      </c>
      <c r="D12" s="1" t="s">
        <v>4</v>
      </c>
    </row>
    <row r="13" spans="2:5" ht="15.75">
      <c r="B13" s="1" t="s">
        <v>42</v>
      </c>
      <c r="C13" s="36">
        <v>0.875</v>
      </c>
      <c r="D13" s="1" t="s">
        <v>4</v>
      </c>
      <c r="E13" s="1" t="s">
        <v>160</v>
      </c>
    </row>
    <row r="15" spans="1:2" ht="12.75">
      <c r="A15" s="2" t="s">
        <v>6</v>
      </c>
      <c r="B15" s="1" t="s">
        <v>154</v>
      </c>
    </row>
    <row r="17" ht="12.75">
      <c r="A17" s="2" t="s">
        <v>8</v>
      </c>
    </row>
    <row r="18" ht="12.75">
      <c r="A18" s="4"/>
    </row>
    <row r="19" spans="1:3" ht="12.75">
      <c r="A19" s="5" t="s">
        <v>97</v>
      </c>
      <c r="B19" s="6"/>
      <c r="C19" s="1" t="s">
        <v>98</v>
      </c>
    </row>
    <row r="20" ht="12.75">
      <c r="A20" s="4"/>
    </row>
    <row r="21" spans="1:2" ht="12.75">
      <c r="A21" s="4"/>
      <c r="B21" s="2" t="s">
        <v>115</v>
      </c>
    </row>
    <row r="22" spans="1:6" ht="12.75">
      <c r="A22" s="4"/>
      <c r="C22" s="2"/>
      <c r="D22" s="40" t="s">
        <v>33</v>
      </c>
      <c r="E22" s="41"/>
      <c r="F22" s="73" t="s">
        <v>34</v>
      </c>
    </row>
    <row r="23" spans="1:6" ht="15.75">
      <c r="A23" s="4"/>
      <c r="B23" s="9" t="s">
        <v>104</v>
      </c>
      <c r="D23" s="43" t="s">
        <v>139</v>
      </c>
      <c r="E23" s="44" t="s">
        <v>141</v>
      </c>
      <c r="F23" s="74" t="s">
        <v>140</v>
      </c>
    </row>
    <row r="24" spans="1:6" ht="12.75">
      <c r="A24" s="4"/>
      <c r="B24" s="11"/>
      <c r="C24" s="11"/>
      <c r="D24" s="47" t="s">
        <v>80</v>
      </c>
      <c r="E24" s="12" t="s">
        <v>80</v>
      </c>
      <c r="F24" s="75" t="s">
        <v>80</v>
      </c>
    </row>
    <row r="25" spans="1:6" ht="12.75">
      <c r="A25" s="4"/>
      <c r="B25" s="1" t="s">
        <v>99</v>
      </c>
      <c r="D25" s="46" t="s">
        <v>116</v>
      </c>
      <c r="E25" s="44" t="s">
        <v>116</v>
      </c>
      <c r="F25" s="74" t="s">
        <v>116</v>
      </c>
    </row>
    <row r="26" spans="1:6" ht="12.75">
      <c r="A26" s="4"/>
      <c r="B26" s="1" t="s">
        <v>100</v>
      </c>
      <c r="D26" s="50">
        <f>+B53</f>
        <v>409.95</v>
      </c>
      <c r="E26" s="33">
        <f>+D26/F$42</f>
        <v>284.6875</v>
      </c>
      <c r="F26" s="76">
        <f>+H53</f>
        <v>272.7544910179641</v>
      </c>
    </row>
    <row r="27" spans="1:6" ht="12.75">
      <c r="A27" s="4"/>
      <c r="B27" s="1" t="s">
        <v>101</v>
      </c>
      <c r="D27" s="50">
        <f>+B92</f>
        <v>293.31093749999997</v>
      </c>
      <c r="E27" s="33">
        <f>+D27/F$42</f>
        <v>203.68815104166666</v>
      </c>
      <c r="F27" s="76">
        <f>+H92</f>
        <v>195.54062499999998</v>
      </c>
    </row>
    <row r="28" spans="1:7" ht="12.75">
      <c r="A28" s="4"/>
      <c r="B28" s="2" t="s">
        <v>102</v>
      </c>
      <c r="C28" s="2"/>
      <c r="D28" s="52">
        <f>+B138</f>
        <v>162.53999999999996</v>
      </c>
      <c r="E28" s="53">
        <f>+D28/F$42</f>
        <v>112.87499999999999</v>
      </c>
      <c r="F28" s="77">
        <f>+H138</f>
        <v>108.35999999999999</v>
      </c>
      <c r="G28" s="1" t="s">
        <v>159</v>
      </c>
    </row>
    <row r="29" spans="1:6" ht="12.75">
      <c r="A29" s="4"/>
      <c r="B29" s="6" t="s">
        <v>103</v>
      </c>
      <c r="C29" s="6"/>
      <c r="D29" s="55">
        <f>+B155</f>
        <v>372.48749999999995</v>
      </c>
      <c r="E29" s="56">
        <f>+D29/F$42</f>
        <v>258.671875</v>
      </c>
      <c r="F29" s="78">
        <f>+H155</f>
        <v>248.325</v>
      </c>
    </row>
    <row r="30" spans="1:6" ht="12.75">
      <c r="A30" s="4"/>
      <c r="B30" s="1" t="s">
        <v>135</v>
      </c>
      <c r="D30" s="55">
        <f>MIN(D26:D29)</f>
        <v>162.53999999999996</v>
      </c>
      <c r="E30" s="79">
        <f>MIN(E26:E29)</f>
        <v>112.87499999999999</v>
      </c>
      <c r="F30" s="80">
        <f>MIN(F26:F29)</f>
        <v>108.35999999999999</v>
      </c>
    </row>
    <row r="31" spans="1:6" ht="12.75">
      <c r="A31" s="4"/>
      <c r="B31" s="59" t="s">
        <v>143</v>
      </c>
      <c r="C31" s="42"/>
      <c r="D31" s="60"/>
      <c r="E31" s="81">
        <f>+E30*G10</f>
        <v>45.15</v>
      </c>
      <c r="F31" s="81">
        <f>+F30*G10</f>
        <v>43.343999999999994</v>
      </c>
    </row>
    <row r="32" spans="1:6" ht="12.75">
      <c r="A32" s="4"/>
      <c r="B32" s="6" t="s">
        <v>144</v>
      </c>
      <c r="C32" s="63"/>
      <c r="D32" s="55"/>
      <c r="E32" s="80">
        <f>+E30*G11</f>
        <v>67.725</v>
      </c>
      <c r="F32" s="80">
        <f>+F30*G11</f>
        <v>65.01599999999999</v>
      </c>
    </row>
    <row r="33" spans="1:6" ht="12.75">
      <c r="A33" s="4"/>
      <c r="D33" s="33"/>
      <c r="E33" s="82" t="s">
        <v>145</v>
      </c>
      <c r="F33" s="83" t="s">
        <v>145</v>
      </c>
    </row>
    <row r="34" spans="1:7" ht="12.75">
      <c r="A34" s="4"/>
      <c r="D34" s="33"/>
      <c r="E34" s="33"/>
      <c r="G34" s="33"/>
    </row>
    <row r="35" spans="1:8" ht="12.75">
      <c r="A35" s="4"/>
      <c r="B35" s="65" t="s">
        <v>146</v>
      </c>
      <c r="C35" s="65"/>
      <c r="D35" s="66"/>
      <c r="E35" s="66"/>
      <c r="F35" s="65"/>
      <c r="G35" s="66"/>
      <c r="H35" s="65"/>
    </row>
    <row r="36" spans="1:8" ht="12.75">
      <c r="A36" s="4"/>
      <c r="B36" s="65" t="s">
        <v>147</v>
      </c>
      <c r="C36" s="65"/>
      <c r="D36" s="66"/>
      <c r="E36" s="66"/>
      <c r="F36" s="65"/>
      <c r="G36" s="66"/>
      <c r="H36" s="65"/>
    </row>
    <row r="37" spans="1:7" ht="12.75">
      <c r="A37" s="4"/>
      <c r="D37" s="33"/>
      <c r="E37" s="33"/>
      <c r="G37" s="33"/>
    </row>
    <row r="38" ht="12.75">
      <c r="A38" s="4"/>
    </row>
    <row r="39" spans="1:3" ht="12.75">
      <c r="A39" s="14" t="s">
        <v>26</v>
      </c>
      <c r="B39" s="6"/>
      <c r="C39" s="6"/>
    </row>
    <row r="40" spans="1:4" ht="12.75">
      <c r="A40" s="67"/>
      <c r="B40" s="9" t="s">
        <v>132</v>
      </c>
      <c r="C40" s="9"/>
      <c r="D40" s="9"/>
    </row>
    <row r="41" spans="1:4" ht="12.75">
      <c r="A41" s="67"/>
      <c r="C41" s="9"/>
      <c r="D41" s="9"/>
    </row>
    <row r="42" spans="1:7" ht="15.75">
      <c r="A42" s="67"/>
      <c r="B42" s="9" t="s">
        <v>133</v>
      </c>
      <c r="C42" s="9"/>
      <c r="D42" s="9"/>
      <c r="E42" s="1" t="s">
        <v>134</v>
      </c>
      <c r="F42" s="68">
        <f>1.2*G10+1.6*G11</f>
        <v>1.44</v>
      </c>
      <c r="G42" s="1" t="s">
        <v>128</v>
      </c>
    </row>
    <row r="43" spans="1:9" ht="12.75">
      <c r="A43" s="4"/>
      <c r="C43" s="9"/>
      <c r="D43" s="9"/>
      <c r="F43" s="9"/>
      <c r="G43" s="44"/>
      <c r="H43" s="9"/>
      <c r="I43" s="9"/>
    </row>
    <row r="44" spans="1:3" ht="12.75">
      <c r="A44" s="14" t="s">
        <v>24</v>
      </c>
      <c r="B44" s="6"/>
      <c r="C44" s="6"/>
    </row>
    <row r="45" spans="3:6" ht="12.75">
      <c r="C45" s="1" t="s">
        <v>152</v>
      </c>
      <c r="D45" s="16"/>
      <c r="E45" s="1">
        <f>300*C12/12</f>
        <v>34.49999999999999</v>
      </c>
      <c r="F45" s="1" t="s">
        <v>15</v>
      </c>
    </row>
    <row r="47" spans="1:3" ht="12.75">
      <c r="A47" s="14" t="s">
        <v>23</v>
      </c>
      <c r="B47" s="6"/>
      <c r="C47" s="6"/>
    </row>
    <row r="49" spans="2:4" ht="15.75">
      <c r="B49" s="1" t="s">
        <v>31</v>
      </c>
      <c r="C49" s="1">
        <f>+C7*C10</f>
        <v>455.5</v>
      </c>
      <c r="D49" s="1" t="s">
        <v>21</v>
      </c>
    </row>
    <row r="50" spans="10:11" ht="12.75">
      <c r="J50" s="9"/>
      <c r="K50" s="9"/>
    </row>
    <row r="51" spans="1:11" ht="12.75">
      <c r="A51" s="6" t="s">
        <v>33</v>
      </c>
      <c r="B51" s="6"/>
      <c r="C51" s="6"/>
      <c r="D51" s="6"/>
      <c r="F51" s="6" t="s">
        <v>34</v>
      </c>
      <c r="G51" s="6"/>
      <c r="H51" s="6"/>
      <c r="I51" s="6"/>
      <c r="J51" s="9"/>
      <c r="K51" s="9"/>
    </row>
    <row r="52" spans="1:11" ht="15.75">
      <c r="A52" s="17" t="s">
        <v>35</v>
      </c>
      <c r="B52" s="1">
        <v>0.9</v>
      </c>
      <c r="F52" s="17" t="s">
        <v>36</v>
      </c>
      <c r="H52" s="1">
        <v>1.67</v>
      </c>
      <c r="J52" s="9"/>
      <c r="K52" s="9"/>
    </row>
    <row r="53" spans="1:11" ht="15.75">
      <c r="A53" s="17" t="s">
        <v>37</v>
      </c>
      <c r="B53" s="16">
        <f>+B52*C49</f>
        <v>409.95</v>
      </c>
      <c r="C53" s="1" t="s">
        <v>21</v>
      </c>
      <c r="F53" s="1" t="s">
        <v>38</v>
      </c>
      <c r="H53" s="16">
        <f>+C49/H52</f>
        <v>272.7544910179641</v>
      </c>
      <c r="I53" s="1" t="s">
        <v>21</v>
      </c>
      <c r="J53" s="9"/>
      <c r="K53" s="9"/>
    </row>
    <row r="54" spans="10:11" ht="12.75">
      <c r="J54" s="9"/>
      <c r="K54" s="9"/>
    </row>
    <row r="55" spans="1:3" ht="12.75">
      <c r="A55" s="14" t="s">
        <v>64</v>
      </c>
      <c r="B55" s="6"/>
      <c r="C55" s="6"/>
    </row>
    <row r="56" ht="12.75"/>
    <row r="57" ht="12.75"/>
    <row r="58" ht="12.75"/>
    <row r="59" ht="12.75"/>
    <row r="60" ht="12.75"/>
    <row r="61" ht="12.75"/>
    <row r="62" ht="12.75"/>
    <row r="63" ht="12.75">
      <c r="B63" s="1" t="s">
        <v>41</v>
      </c>
    </row>
    <row r="65" ht="12.75">
      <c r="C65" s="1" t="s">
        <v>126</v>
      </c>
    </row>
    <row r="66" spans="5:10" ht="14.25">
      <c r="E66" s="10" t="s">
        <v>46</v>
      </c>
      <c r="F66" s="10" t="s">
        <v>47</v>
      </c>
      <c r="G66" s="10" t="s">
        <v>61</v>
      </c>
      <c r="H66" s="10" t="s">
        <v>51</v>
      </c>
      <c r="I66" s="10" t="s">
        <v>52</v>
      </c>
      <c r="J66" s="10" t="s">
        <v>53</v>
      </c>
    </row>
    <row r="67" spans="5:10" ht="14.25">
      <c r="E67" s="12" t="s">
        <v>57</v>
      </c>
      <c r="F67" s="12" t="s">
        <v>57</v>
      </c>
      <c r="G67" s="12"/>
      <c r="H67" s="12" t="s">
        <v>57</v>
      </c>
      <c r="I67" s="12" t="s">
        <v>57</v>
      </c>
      <c r="J67" s="12" t="s">
        <v>58</v>
      </c>
    </row>
    <row r="68" spans="3:10" ht="12.75">
      <c r="C68" s="1" t="s">
        <v>155</v>
      </c>
      <c r="E68" s="18"/>
      <c r="F68" s="18"/>
      <c r="G68" s="18"/>
      <c r="H68" s="18"/>
      <c r="I68" s="18"/>
      <c r="J68" s="18">
        <f>+C10</f>
        <v>9.11</v>
      </c>
    </row>
    <row r="69" spans="3:10" ht="12.75">
      <c r="C69" s="1" t="s">
        <v>54</v>
      </c>
      <c r="E69" s="21"/>
      <c r="F69" s="21"/>
      <c r="G69" s="21"/>
      <c r="H69" s="19">
        <f>-(0.125+C13)</f>
        <v>-1</v>
      </c>
      <c r="I69" s="19">
        <f>+C11</f>
        <v>0.43</v>
      </c>
      <c r="J69" s="19">
        <f>+H69*I69</f>
        <v>-0.43</v>
      </c>
    </row>
    <row r="70" spans="3:10" ht="12.75">
      <c r="C70" s="1" t="s">
        <v>56</v>
      </c>
      <c r="E70" s="23"/>
      <c r="F70" s="23"/>
      <c r="G70" s="23"/>
      <c r="H70" s="24">
        <f>+H69</f>
        <v>-1</v>
      </c>
      <c r="I70" s="24">
        <f>+I69</f>
        <v>0.43</v>
      </c>
      <c r="J70" s="24">
        <f>+H70*I70</f>
        <v>-0.43</v>
      </c>
    </row>
    <row r="71" spans="3:10" ht="12.75">
      <c r="C71" s="1" t="s">
        <v>59</v>
      </c>
      <c r="J71" s="8">
        <f>SUM(J68:J70)</f>
        <v>8.25</v>
      </c>
    </row>
    <row r="73" ht="12.75">
      <c r="C73" s="1" t="s">
        <v>43</v>
      </c>
    </row>
    <row r="74" spans="5:10" ht="14.25">
      <c r="E74" s="10" t="s">
        <v>46</v>
      </c>
      <c r="F74" s="10" t="s">
        <v>47</v>
      </c>
      <c r="G74" s="10" t="s">
        <v>61</v>
      </c>
      <c r="H74" s="10" t="s">
        <v>51</v>
      </c>
      <c r="I74" s="10" t="s">
        <v>52</v>
      </c>
      <c r="J74" s="10" t="s">
        <v>53</v>
      </c>
    </row>
    <row r="75" spans="5:10" ht="14.25">
      <c r="E75" s="12" t="s">
        <v>57</v>
      </c>
      <c r="F75" s="12" t="s">
        <v>57</v>
      </c>
      <c r="G75" s="12"/>
      <c r="H75" s="12" t="s">
        <v>57</v>
      </c>
      <c r="I75" s="12" t="s">
        <v>57</v>
      </c>
      <c r="J75" s="12" t="s">
        <v>58</v>
      </c>
    </row>
    <row r="76" spans="3:10" ht="12.75">
      <c r="C76" s="1" t="s">
        <v>155</v>
      </c>
      <c r="E76" s="18"/>
      <c r="F76" s="18"/>
      <c r="G76" s="18"/>
      <c r="H76" s="18"/>
      <c r="I76" s="18"/>
      <c r="J76" s="18">
        <f>+J68</f>
        <v>9.11</v>
      </c>
    </row>
    <row r="77" spans="3:10" ht="12.75">
      <c r="C77" s="1" t="s">
        <v>156</v>
      </c>
      <c r="E77" s="38">
        <v>1.5</v>
      </c>
      <c r="F77" s="38">
        <v>3</v>
      </c>
      <c r="G77" s="19">
        <f>+(E77^2)/4/F77</f>
        <v>0.1875</v>
      </c>
      <c r="H77" s="19">
        <f>+G77</f>
        <v>0.1875</v>
      </c>
      <c r="I77" s="19">
        <f>+C11</f>
        <v>0.43</v>
      </c>
      <c r="J77" s="19">
        <f>+H77*I77</f>
        <v>0.080625</v>
      </c>
    </row>
    <row r="78" spans="3:10" ht="12.75">
      <c r="C78" s="1" t="s">
        <v>157</v>
      </c>
      <c r="E78" s="38">
        <v>1.5</v>
      </c>
      <c r="F78" s="38">
        <v>3</v>
      </c>
      <c r="G78" s="19">
        <f>+(E78^2)/4/F78</f>
        <v>0.1875</v>
      </c>
      <c r="H78" s="19">
        <f>+G78</f>
        <v>0.1875</v>
      </c>
      <c r="I78" s="19">
        <f>+I77</f>
        <v>0.43</v>
      </c>
      <c r="J78" s="19">
        <f>+H78*I78</f>
        <v>0.080625</v>
      </c>
    </row>
    <row r="79" spans="3:10" ht="12.75">
      <c r="C79" s="1" t="s">
        <v>54</v>
      </c>
      <c r="E79" s="21"/>
      <c r="F79" s="21"/>
      <c r="G79" s="21"/>
      <c r="H79" s="19">
        <f>-(0.125+C13)</f>
        <v>-1</v>
      </c>
      <c r="I79" s="19">
        <f>+I78</f>
        <v>0.43</v>
      </c>
      <c r="J79" s="19">
        <f>+H79*I79</f>
        <v>-0.43</v>
      </c>
    </row>
    <row r="80" spans="3:10" ht="12.75">
      <c r="C80" s="1" t="s">
        <v>55</v>
      </c>
      <c r="E80" s="21"/>
      <c r="F80" s="21"/>
      <c r="G80" s="21"/>
      <c r="H80" s="19">
        <f>+H79</f>
        <v>-1</v>
      </c>
      <c r="I80" s="19">
        <f>+I79</f>
        <v>0.43</v>
      </c>
      <c r="J80" s="19">
        <f>+H80*I80</f>
        <v>-0.43</v>
      </c>
    </row>
    <row r="81" spans="3:10" ht="12.75">
      <c r="C81" s="1" t="s">
        <v>56</v>
      </c>
      <c r="E81" s="23"/>
      <c r="F81" s="23"/>
      <c r="G81" s="23"/>
      <c r="H81" s="24">
        <f>+H80</f>
        <v>-1</v>
      </c>
      <c r="I81" s="24">
        <f>+I80</f>
        <v>0.43</v>
      </c>
      <c r="J81" s="24">
        <f>+H81*I81</f>
        <v>-0.43</v>
      </c>
    </row>
    <row r="82" spans="3:10" ht="12.75">
      <c r="C82" s="1" t="s">
        <v>59</v>
      </c>
      <c r="J82" s="8">
        <f>SUM(J76:J81)</f>
        <v>7.981249999999999</v>
      </c>
    </row>
    <row r="84" spans="2:5" ht="15.75">
      <c r="B84" s="1" t="s">
        <v>62</v>
      </c>
      <c r="D84" s="15">
        <f>MIN(J71,J82)</f>
        <v>7.981249999999999</v>
      </c>
      <c r="E84" s="1" t="s">
        <v>60</v>
      </c>
    </row>
    <row r="85" spans="3:5" ht="12.75">
      <c r="C85" s="1" t="s">
        <v>137</v>
      </c>
      <c r="D85" s="1">
        <v>0.7</v>
      </c>
      <c r="E85" s="1" t="s">
        <v>158</v>
      </c>
    </row>
    <row r="86" spans="3:5" ht="15.75">
      <c r="C86" s="1" t="s">
        <v>138</v>
      </c>
      <c r="D86" s="15">
        <f>+D84*D85</f>
        <v>5.586874999999999</v>
      </c>
      <c r="E86" s="1" t="s">
        <v>60</v>
      </c>
    </row>
    <row r="88" spans="2:4" ht="15.75">
      <c r="B88" s="1" t="s">
        <v>31</v>
      </c>
      <c r="C88" s="27">
        <f>+D86*C8</f>
        <v>391.08124999999995</v>
      </c>
      <c r="D88" s="1" t="s">
        <v>21</v>
      </c>
    </row>
    <row r="90" spans="1:10" ht="12.75">
      <c r="A90" s="6" t="s">
        <v>33</v>
      </c>
      <c r="B90" s="6"/>
      <c r="C90" s="6"/>
      <c r="D90" s="6"/>
      <c r="F90" s="6" t="s">
        <v>34</v>
      </c>
      <c r="G90" s="6"/>
      <c r="H90" s="6"/>
      <c r="I90" s="6"/>
      <c r="J90" s="6"/>
    </row>
    <row r="91" spans="1:8" ht="15.75">
      <c r="A91" s="17" t="s">
        <v>35</v>
      </c>
      <c r="B91" s="1">
        <v>0.75</v>
      </c>
      <c r="F91" s="17" t="s">
        <v>36</v>
      </c>
      <c r="H91" s="1">
        <v>2</v>
      </c>
    </row>
    <row r="92" spans="1:9" ht="15.75">
      <c r="A92" s="17" t="s">
        <v>37</v>
      </c>
      <c r="B92" s="16">
        <f>+B91*C88</f>
        <v>293.31093749999997</v>
      </c>
      <c r="C92" s="1" t="s">
        <v>21</v>
      </c>
      <c r="F92" s="1" t="s">
        <v>38</v>
      </c>
      <c r="H92" s="16">
        <f>+C88/H91</f>
        <v>195.54062499999998</v>
      </c>
      <c r="I92" s="1" t="s">
        <v>21</v>
      </c>
    </row>
    <row r="94" spans="1:3" ht="12.75">
      <c r="A94" s="14" t="s">
        <v>65</v>
      </c>
      <c r="B94" s="6"/>
      <c r="C94" s="6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spans="2:4" ht="15.75">
      <c r="B103" s="1" t="s">
        <v>74</v>
      </c>
      <c r="C103" s="1">
        <f>+C11</f>
        <v>0.43</v>
      </c>
      <c r="D103" s="1" t="s">
        <v>4</v>
      </c>
    </row>
    <row r="104" spans="2:4" ht="15.75">
      <c r="B104" s="1" t="s">
        <v>42</v>
      </c>
      <c r="C104" s="1">
        <f>+C13</f>
        <v>0.875</v>
      </c>
      <c r="D104" s="1" t="s">
        <v>4</v>
      </c>
    </row>
    <row r="106" spans="2:8" ht="12.75">
      <c r="B106" s="1" t="s">
        <v>66</v>
      </c>
      <c r="D106" s="10" t="s">
        <v>71</v>
      </c>
      <c r="E106" s="10" t="s">
        <v>70</v>
      </c>
      <c r="F106" s="10" t="s">
        <v>72</v>
      </c>
      <c r="G106" s="10"/>
      <c r="H106" s="10"/>
    </row>
    <row r="107" spans="4:8" ht="12.75">
      <c r="D107" s="10" t="s">
        <v>68</v>
      </c>
      <c r="E107" s="10" t="s">
        <v>69</v>
      </c>
      <c r="F107" s="10" t="s">
        <v>68</v>
      </c>
      <c r="G107" s="10" t="s">
        <v>67</v>
      </c>
      <c r="H107" s="10" t="s">
        <v>53</v>
      </c>
    </row>
    <row r="108" spans="4:8" ht="12.75">
      <c r="D108" s="12" t="s">
        <v>57</v>
      </c>
      <c r="E108" s="12"/>
      <c r="F108" s="12" t="s">
        <v>57</v>
      </c>
      <c r="G108" s="12"/>
      <c r="H108" s="12" t="s">
        <v>73</v>
      </c>
    </row>
    <row r="109" spans="3:8" ht="15.75">
      <c r="C109" s="1" t="s">
        <v>110</v>
      </c>
      <c r="D109" s="71">
        <f>12-1.5</f>
        <v>10.5</v>
      </c>
      <c r="E109" s="71">
        <v>0</v>
      </c>
      <c r="F109" s="8">
        <f>+D109-E109*(C104+0.125)</f>
        <v>10.5</v>
      </c>
      <c r="G109" s="8">
        <v>2</v>
      </c>
      <c r="H109" s="8">
        <f>+G109*F109*C103</f>
        <v>9.03</v>
      </c>
    </row>
    <row r="110" spans="3:8" ht="15.75">
      <c r="C110" s="1" t="s">
        <v>111</v>
      </c>
      <c r="D110" s="71">
        <v>10.5</v>
      </c>
      <c r="E110" s="71">
        <v>3.5</v>
      </c>
      <c r="F110" s="8">
        <f>+D110-E110*(C104+0.125)</f>
        <v>7</v>
      </c>
      <c r="G110" s="8">
        <v>2</v>
      </c>
      <c r="H110" s="8">
        <f>+G110*F110*C103</f>
        <v>6.02</v>
      </c>
    </row>
    <row r="111" spans="3:8" ht="15.75">
      <c r="C111" s="1" t="s">
        <v>112</v>
      </c>
      <c r="D111" s="71">
        <v>6</v>
      </c>
      <c r="E111" s="71">
        <v>1</v>
      </c>
      <c r="F111" s="8">
        <f>+D111-E111*(C104+0.125)</f>
        <v>5</v>
      </c>
      <c r="G111" s="8">
        <v>1</v>
      </c>
      <c r="H111" s="8">
        <f>+G111*F111*C103</f>
        <v>2.15</v>
      </c>
    </row>
    <row r="113" spans="3:4" ht="15.75">
      <c r="C113" s="1" t="s">
        <v>113</v>
      </c>
      <c r="D113" s="29">
        <v>1</v>
      </c>
    </row>
    <row r="114" ht="12.75">
      <c r="D114" s="29"/>
    </row>
    <row r="115" spans="4:6" ht="12.75">
      <c r="D115" s="29" t="s">
        <v>76</v>
      </c>
      <c r="E115" s="10" t="s">
        <v>76</v>
      </c>
      <c r="F115" s="10" t="s">
        <v>79</v>
      </c>
    </row>
    <row r="116" spans="4:6" ht="12.75">
      <c r="D116" s="29" t="s">
        <v>77</v>
      </c>
      <c r="E116" s="10" t="s">
        <v>78</v>
      </c>
      <c r="F116" s="10"/>
    </row>
    <row r="117" spans="4:6" ht="12.75">
      <c r="D117" s="30" t="s">
        <v>80</v>
      </c>
      <c r="E117" s="12" t="s">
        <v>80</v>
      </c>
      <c r="F117" s="12" t="s">
        <v>80</v>
      </c>
    </row>
    <row r="118" spans="3:6" ht="15.75">
      <c r="C118" s="1" t="s">
        <v>86</v>
      </c>
      <c r="D118" s="29">
        <f>0.6*C8*H110+D113*C8*H111</f>
        <v>403.34</v>
      </c>
      <c r="E118" s="29">
        <f>0.6*C7*H109+D113*C8*H111</f>
        <v>421.4</v>
      </c>
      <c r="F118" s="29">
        <f>MIN(D118,E118)</f>
        <v>403.34</v>
      </c>
    </row>
    <row r="120" spans="2:8" ht="12.75">
      <c r="B120" s="1" t="s">
        <v>75</v>
      </c>
      <c r="D120" s="10" t="s">
        <v>71</v>
      </c>
      <c r="E120" s="10" t="s">
        <v>70</v>
      </c>
      <c r="F120" s="10" t="s">
        <v>72</v>
      </c>
      <c r="G120" s="10"/>
      <c r="H120" s="10"/>
    </row>
    <row r="121" spans="4:8" ht="12.75">
      <c r="D121" s="10" t="s">
        <v>68</v>
      </c>
      <c r="E121" s="10" t="s">
        <v>69</v>
      </c>
      <c r="F121" s="10" t="s">
        <v>68</v>
      </c>
      <c r="G121" s="10" t="s">
        <v>67</v>
      </c>
      <c r="H121" s="10" t="s">
        <v>53</v>
      </c>
    </row>
    <row r="122" spans="4:8" ht="12.75">
      <c r="D122" s="12" t="s">
        <v>57</v>
      </c>
      <c r="E122" s="12"/>
      <c r="F122" s="12" t="s">
        <v>57</v>
      </c>
      <c r="G122" s="12"/>
      <c r="H122" s="12" t="s">
        <v>73</v>
      </c>
    </row>
    <row r="123" spans="3:8" ht="15.75">
      <c r="C123" s="1" t="s">
        <v>110</v>
      </c>
      <c r="D123" s="71">
        <v>10.5</v>
      </c>
      <c r="E123" s="71">
        <v>0</v>
      </c>
      <c r="F123" s="8">
        <f>+D123-E123*(C104+0.125)</f>
        <v>10.5</v>
      </c>
      <c r="G123" s="8">
        <v>1</v>
      </c>
      <c r="H123" s="8">
        <f>+G123*F123*C103</f>
        <v>4.515</v>
      </c>
    </row>
    <row r="124" spans="3:8" ht="15.75">
      <c r="C124" s="1" t="s">
        <v>111</v>
      </c>
      <c r="D124" s="71">
        <v>10.5</v>
      </c>
      <c r="E124" s="71">
        <v>3.5</v>
      </c>
      <c r="F124" s="8">
        <f>+D124-E124*(C104+0.125)</f>
        <v>7</v>
      </c>
      <c r="G124" s="8">
        <v>1</v>
      </c>
      <c r="H124" s="8">
        <f>+G124*F124*C103</f>
        <v>3.01</v>
      </c>
    </row>
    <row r="125" spans="3:8" ht="15.75">
      <c r="C125" s="1" t="s">
        <v>112</v>
      </c>
      <c r="D125" s="71">
        <v>7.5</v>
      </c>
      <c r="E125" s="71">
        <v>1.5</v>
      </c>
      <c r="F125" s="8">
        <f>+D125-E125*(C104+0.125)</f>
        <v>6</v>
      </c>
      <c r="G125" s="8">
        <v>1</v>
      </c>
      <c r="H125" s="8">
        <f>+G125*F125*C103</f>
        <v>2.58</v>
      </c>
    </row>
    <row r="127" spans="3:4" ht="15.75">
      <c r="C127" s="1" t="s">
        <v>113</v>
      </c>
      <c r="D127" s="29">
        <v>0.5</v>
      </c>
    </row>
    <row r="128" ht="12.75">
      <c r="D128" s="29"/>
    </row>
    <row r="129" spans="4:6" ht="12.75">
      <c r="D129" s="29" t="s">
        <v>76</v>
      </c>
      <c r="E129" s="10" t="s">
        <v>76</v>
      </c>
      <c r="F129" s="10" t="s">
        <v>79</v>
      </c>
    </row>
    <row r="130" spans="4:6" ht="12.75">
      <c r="D130" s="29" t="s">
        <v>77</v>
      </c>
      <c r="E130" s="10" t="s">
        <v>78</v>
      </c>
      <c r="F130" s="10"/>
    </row>
    <row r="131" spans="4:6" ht="12.75">
      <c r="D131" s="30" t="s">
        <v>80</v>
      </c>
      <c r="E131" s="12" t="s">
        <v>80</v>
      </c>
      <c r="F131" s="12" t="s">
        <v>80</v>
      </c>
    </row>
    <row r="132" spans="3:6" ht="15.75">
      <c r="C132" s="1" t="s">
        <v>86</v>
      </c>
      <c r="D132" s="29">
        <f>0.6*C8*H124+D127*C8*H125</f>
        <v>216.71999999999997</v>
      </c>
      <c r="E132" s="29">
        <f>0.6*C7*H123+D127*C8*H125</f>
        <v>225.75</v>
      </c>
      <c r="F132" s="29">
        <f>MIN(D132,E132)</f>
        <v>216.71999999999997</v>
      </c>
    </row>
    <row r="133" spans="4:6" ht="12.75">
      <c r="D133" s="29"/>
      <c r="E133" s="29"/>
      <c r="F133" s="29"/>
    </row>
    <row r="134" spans="3:6" ht="15.75">
      <c r="C134" s="1" t="s">
        <v>87</v>
      </c>
      <c r="D134" s="29"/>
      <c r="E134" s="31">
        <f>MIN(F118,F132)</f>
        <v>216.71999999999997</v>
      </c>
      <c r="F134" s="31" t="s">
        <v>83</v>
      </c>
    </row>
    <row r="136" spans="1:10" ht="12.75">
      <c r="A136" s="6" t="s">
        <v>33</v>
      </c>
      <c r="B136" s="6"/>
      <c r="C136" s="6"/>
      <c r="D136" s="6"/>
      <c r="F136" s="6" t="s">
        <v>34</v>
      </c>
      <c r="G136" s="6"/>
      <c r="H136" s="6"/>
      <c r="I136" s="6"/>
      <c r="J136" s="6"/>
    </row>
    <row r="137" spans="1:8" ht="15.75">
      <c r="A137" s="17" t="s">
        <v>35</v>
      </c>
      <c r="B137" s="1">
        <v>0.75</v>
      </c>
      <c r="F137" s="17" t="s">
        <v>36</v>
      </c>
      <c r="H137" s="1">
        <v>2</v>
      </c>
    </row>
    <row r="138" spans="1:9" ht="15.75">
      <c r="A138" s="17" t="s">
        <v>81</v>
      </c>
      <c r="B138" s="16">
        <f>+B137*E134</f>
        <v>162.53999999999996</v>
      </c>
      <c r="C138" s="1" t="s">
        <v>21</v>
      </c>
      <c r="F138" s="1" t="s">
        <v>82</v>
      </c>
      <c r="H138" s="16">
        <f>+E134/H137</f>
        <v>108.35999999999999</v>
      </c>
      <c r="I138" s="1" t="s">
        <v>21</v>
      </c>
    </row>
    <row r="140" spans="1:2" ht="12.75">
      <c r="A140" s="14" t="s">
        <v>84</v>
      </c>
      <c r="B140" s="6"/>
    </row>
    <row r="141" ht="12.75">
      <c r="B141" s="1" t="s">
        <v>88</v>
      </c>
    </row>
    <row r="142" ht="12.75">
      <c r="B142" s="1" t="s">
        <v>89</v>
      </c>
    </row>
    <row r="144" spans="2:7" ht="15.75">
      <c r="B144" s="1" t="s">
        <v>74</v>
      </c>
      <c r="C144" s="1">
        <f>+C11</f>
        <v>0.43</v>
      </c>
      <c r="D144" s="1" t="s">
        <v>4</v>
      </c>
      <c r="E144" s="1" t="s">
        <v>85</v>
      </c>
      <c r="F144" s="1">
        <f>1.5-(C145+0.125)/2</f>
        <v>1</v>
      </c>
      <c r="G144" s="1" t="s">
        <v>4</v>
      </c>
    </row>
    <row r="145" spans="2:7" ht="15.75">
      <c r="B145" s="1" t="s">
        <v>42</v>
      </c>
      <c r="C145" s="1">
        <f>+C13</f>
        <v>0.875</v>
      </c>
      <c r="D145" s="1" t="s">
        <v>4</v>
      </c>
      <c r="E145" s="1" t="s">
        <v>95</v>
      </c>
      <c r="F145" s="1">
        <v>11</v>
      </c>
      <c r="G145" s="1" t="s">
        <v>96</v>
      </c>
    </row>
    <row r="147" spans="4:7" ht="12.75">
      <c r="D147" s="29" t="s">
        <v>90</v>
      </c>
      <c r="E147" s="10" t="s">
        <v>92</v>
      </c>
      <c r="F147" s="10" t="s">
        <v>79</v>
      </c>
      <c r="G147" s="10" t="s">
        <v>79</v>
      </c>
    </row>
    <row r="148" spans="4:7" ht="12.75">
      <c r="D148" s="29" t="s">
        <v>91</v>
      </c>
      <c r="E148" s="10" t="s">
        <v>93</v>
      </c>
      <c r="F148" s="10"/>
      <c r="G148" s="10"/>
    </row>
    <row r="149" spans="4:7" ht="12.75">
      <c r="D149" s="30" t="s">
        <v>94</v>
      </c>
      <c r="E149" s="30" t="s">
        <v>94</v>
      </c>
      <c r="F149" s="30" t="s">
        <v>94</v>
      </c>
      <c r="G149" s="32" t="s">
        <v>80</v>
      </c>
    </row>
    <row r="150" spans="3:7" ht="15.75">
      <c r="C150" s="1" t="s">
        <v>114</v>
      </c>
      <c r="D150" s="33">
        <v>1.5</v>
      </c>
      <c r="E150" s="33">
        <v>3</v>
      </c>
      <c r="F150" s="33"/>
      <c r="G150" s="34"/>
    </row>
    <row r="151" spans="3:7" ht="15.75">
      <c r="C151" s="1" t="s">
        <v>86</v>
      </c>
      <c r="D151" s="29">
        <f>D150*F144*C144*C8</f>
        <v>45.15</v>
      </c>
      <c r="E151" s="29">
        <f>E150*C145*C144*C8</f>
        <v>79.01249999999999</v>
      </c>
      <c r="F151" s="29">
        <f>MIN(D151,E151)</f>
        <v>45.15</v>
      </c>
      <c r="G151" s="29">
        <f>+F151*F145</f>
        <v>496.65</v>
      </c>
    </row>
    <row r="153" spans="1:10" ht="12.75">
      <c r="A153" s="6" t="s">
        <v>33</v>
      </c>
      <c r="B153" s="6"/>
      <c r="C153" s="6"/>
      <c r="D153" s="6"/>
      <c r="F153" s="6" t="s">
        <v>34</v>
      </c>
      <c r="G153" s="6"/>
      <c r="H153" s="6"/>
      <c r="I153" s="6"/>
      <c r="J153" s="6"/>
    </row>
    <row r="154" spans="1:8" ht="15.75">
      <c r="A154" s="17" t="s">
        <v>35</v>
      </c>
      <c r="B154" s="1">
        <v>0.75</v>
      </c>
      <c r="F154" s="17" t="s">
        <v>36</v>
      </c>
      <c r="H154" s="1">
        <v>2</v>
      </c>
    </row>
    <row r="155" spans="1:9" ht="15.75">
      <c r="A155" s="17" t="s">
        <v>81</v>
      </c>
      <c r="B155" s="16">
        <f>+B154*G151</f>
        <v>372.48749999999995</v>
      </c>
      <c r="C155" s="1" t="s">
        <v>21</v>
      </c>
      <c r="F155" s="1" t="s">
        <v>82</v>
      </c>
      <c r="H155" s="16">
        <f>+G151/H154</f>
        <v>248.325</v>
      </c>
      <c r="I155" s="1" t="s">
        <v>21</v>
      </c>
    </row>
    <row r="156" spans="1:8" ht="12.75">
      <c r="A156" s="17"/>
      <c r="B156" s="16"/>
      <c r="H156" s="16"/>
    </row>
    <row r="157" spans="1:9" ht="12.75">
      <c r="A157" s="9"/>
      <c r="B157" s="9"/>
      <c r="C157" s="84"/>
      <c r="D157" s="9"/>
      <c r="E157" s="9"/>
      <c r="F157" s="9"/>
      <c r="G157" s="9"/>
      <c r="H157" s="9"/>
      <c r="I157" s="9"/>
    </row>
    <row r="158" spans="1:9" ht="12.75">
      <c r="A158" s="9"/>
      <c r="B158" s="9"/>
      <c r="C158" s="9"/>
      <c r="D158" s="9"/>
      <c r="E158" s="9"/>
      <c r="F158" s="9"/>
      <c r="G158" s="9"/>
      <c r="H158" s="9"/>
      <c r="I158" s="9"/>
    </row>
  </sheetData>
  <sheetProtection password="C71E" sheet="1"/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AutoCAD.Drawing.16" shapeId="225196" r:id="rId1"/>
    <oleObject progId="AutoCAD.Drawing.16" shapeId="2300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Quimby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Quimby</dc:creator>
  <cp:keywords/>
  <dc:description/>
  <cp:lastModifiedBy>Bart Quimby</cp:lastModifiedBy>
  <cp:lastPrinted>2006-06-11T03:59:47Z</cp:lastPrinted>
  <dcterms:created xsi:type="dcterms:W3CDTF">2006-06-11T02:57:12Z</dcterms:created>
  <dcterms:modified xsi:type="dcterms:W3CDTF">2008-07-11T22:54:30Z</dcterms:modified>
  <cp:category/>
  <cp:version/>
  <cp:contentType/>
  <cp:contentStatus/>
</cp:coreProperties>
</file>