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7595" windowHeight="12120" activeTab="0"/>
  </bookViews>
  <sheets>
    <sheet name="Example 5.1" sheetId="1" r:id="rId1"/>
    <sheet name="Example 5.2" sheetId="2" r:id="rId2"/>
    <sheet name="Example 5.3" sheetId="3" r:id="rId3"/>
    <sheet name="Example 5.4" sheetId="4" r:id="rId4"/>
    <sheet name="Example 5.5" sheetId="5" r:id="rId5"/>
  </sheets>
  <definedNames>
    <definedName name="solver_adj" localSheetId="3" hidden="1">'Example 5.4'!$C$110:$D$110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'Example 5.4'!$H$144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comments1.xml><?xml version="1.0" encoding="utf-8"?>
<comments xmlns="http://schemas.openxmlformats.org/spreadsheetml/2006/main">
  <authors>
    <author>Bart</author>
  </authors>
  <commentList>
    <comment ref="I43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Experiment with changing weld size and notice what happens to the req'd lap length.</t>
        </r>
      </text>
    </comment>
  </commentList>
</comments>
</file>

<file path=xl/comments2.xml><?xml version="1.0" encoding="utf-8"?>
<comments xmlns="http://schemas.openxmlformats.org/spreadsheetml/2006/main">
  <authors>
    <author>Bart</author>
  </authors>
  <commentList>
    <comment ref="C67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Found by taking first moments of the lines about the 'base' L1.</t>
        </r>
      </text>
    </comment>
    <comment ref="C68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Found by subtracting L2 and L3 from the required length.</t>
        </r>
      </text>
    </comment>
    <comment ref="D69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Ly / overall length.  You have a good result of this equals the distance to the centroid of the member.</t>
        </r>
      </text>
    </comment>
    <comment ref="F84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Found by taking moments about L1.</t>
        </r>
      </text>
    </comment>
    <comment ref="E84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Found by dividing force by </t>
        </r>
        <r>
          <rPr>
            <sz val="8"/>
            <rFont val="Symbol"/>
            <family val="1"/>
          </rPr>
          <t>f</t>
        </r>
        <r>
          <rPr>
            <sz val="8"/>
            <rFont val="Tahoma"/>
            <family val="2"/>
          </rPr>
          <t>r</t>
        </r>
        <r>
          <rPr>
            <vertAlign val="subscript"/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 for the weld.</t>
        </r>
      </text>
    </comment>
  </commentList>
</comments>
</file>

<file path=xl/sharedStrings.xml><?xml version="1.0" encoding="utf-8"?>
<sst xmlns="http://schemas.openxmlformats.org/spreadsheetml/2006/main" count="695" uniqueCount="335">
  <si>
    <t>D</t>
  </si>
  <si>
    <t>W</t>
  </si>
  <si>
    <t>Pu</t>
  </si>
  <si>
    <t>Loads</t>
  </si>
  <si>
    <t>Material</t>
  </si>
  <si>
    <t>ksi</t>
  </si>
  <si>
    <t>Gusset</t>
  </si>
  <si>
    <t>t</t>
  </si>
  <si>
    <t>in</t>
  </si>
  <si>
    <t>Angle</t>
  </si>
  <si>
    <t>in^2</t>
  </si>
  <si>
    <t xml:space="preserve">in </t>
  </si>
  <si>
    <t>Solution</t>
  </si>
  <si>
    <t>k</t>
  </si>
  <si>
    <t>Weld Strength</t>
  </si>
  <si>
    <t>te</t>
  </si>
  <si>
    <t>Base Metal Strength</t>
  </si>
  <si>
    <t>k/in</t>
  </si>
  <si>
    <t>req'd length of weld</t>
  </si>
  <si>
    <t>use, a</t>
  </si>
  <si>
    <t>L3</t>
  </si>
  <si>
    <t>y</t>
  </si>
  <si>
    <t>leg</t>
  </si>
  <si>
    <t>L1</t>
  </si>
  <si>
    <t>L2</t>
  </si>
  <si>
    <t>PL</t>
  </si>
  <si>
    <t>HSS</t>
  </si>
  <si>
    <t>Weld</t>
  </si>
  <si>
    <t>Plate</t>
  </si>
  <si>
    <t>E</t>
  </si>
  <si>
    <t>locations</t>
  </si>
  <si>
    <t>L</t>
  </si>
  <si>
    <t>Welds</t>
  </si>
  <si>
    <t>Material Properties</t>
  </si>
  <si>
    <t>Given:</t>
  </si>
  <si>
    <t>k  ASD LC 5</t>
  </si>
  <si>
    <t>Solution:</t>
  </si>
  <si>
    <r>
      <t>W</t>
    </r>
    <r>
      <rPr>
        <sz val="10"/>
        <rFont val="Arial"/>
        <family val="0"/>
      </rPr>
      <t xml:space="preserve"> 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</si>
  <si>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  <r>
      <rPr>
        <sz val="10"/>
        <rFont val="Arial"/>
        <family val="0"/>
      </rPr>
      <t>L</t>
    </r>
  </si>
  <si>
    <t>Leg size,a</t>
  </si>
  <si>
    <t>/16 in.</t>
  </si>
  <si>
    <t>Compute the Capacity of Each Element</t>
  </si>
  <si>
    <r>
      <t>F</t>
    </r>
    <r>
      <rPr>
        <vertAlign val="subscript"/>
        <sz val="10"/>
        <rFont val="Arial"/>
        <family val="2"/>
      </rPr>
      <t>BM</t>
    </r>
  </si>
  <si>
    <r>
      <t>A</t>
    </r>
    <r>
      <rPr>
        <vertAlign val="subscript"/>
        <sz val="10"/>
        <rFont val="Arial"/>
        <family val="2"/>
      </rPr>
      <t>BM</t>
    </r>
  </si>
  <si>
    <r>
      <t>F</t>
    </r>
    <r>
      <rPr>
        <vertAlign val="subscript"/>
        <sz val="10"/>
        <rFont val="Arial"/>
        <family val="2"/>
      </rPr>
      <t>W</t>
    </r>
  </si>
  <si>
    <r>
      <t>A</t>
    </r>
    <r>
      <rPr>
        <vertAlign val="subscript"/>
        <sz val="10"/>
        <rFont val="Arial"/>
        <family val="2"/>
      </rPr>
      <t>W</t>
    </r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</si>
  <si>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</si>
  <si>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</t>
    </r>
  </si>
  <si>
    <r>
      <t xml:space="preserve">L  </t>
    </r>
    <r>
      <rPr>
        <b/>
        <u val="single"/>
        <sz val="10"/>
        <rFont val="Arial"/>
        <family val="2"/>
      </rPr>
      <t>&gt;</t>
    </r>
  </si>
  <si>
    <r>
      <t>T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</si>
  <si>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t>A Beginners Guide to the Steel Construction Manual</t>
  </si>
  <si>
    <t>last modified:  30 Sept 2006</t>
  </si>
  <si>
    <t>a</t>
  </si>
  <si>
    <t>L4</t>
  </si>
  <si>
    <t>Segment</t>
  </si>
  <si>
    <t>Length</t>
  </si>
  <si>
    <t>Theta</t>
  </si>
  <si>
    <t>Coeff</t>
  </si>
  <si>
    <t>Fw</t>
  </si>
  <si>
    <t>(in)</t>
  </si>
  <si>
    <t>(deg)</t>
  </si>
  <si>
    <t>(ksi)</t>
  </si>
  <si>
    <t>Aw</t>
  </si>
  <si>
    <t>Rn</t>
  </si>
  <si>
    <t>(in^2)</t>
  </si>
  <si>
    <t>(k)</t>
  </si>
  <si>
    <t>Rn =</t>
  </si>
  <si>
    <t>Aw =</t>
  </si>
  <si>
    <t>Solution Summary:</t>
  </si>
  <si>
    <t>with theta</t>
  </si>
  <si>
    <t>w/o theta</t>
  </si>
  <si>
    <t>kips</t>
  </si>
  <si>
    <t>in =</t>
  </si>
  <si>
    <t>/16ths</t>
  </si>
  <si>
    <t>The eccentrically loaded weld shown.</t>
  </si>
  <si>
    <t>Load</t>
  </si>
  <si>
    <t>Dead Load</t>
  </si>
  <si>
    <t>Live Load</t>
  </si>
  <si>
    <t>degrees</t>
  </si>
  <si>
    <t>Wanted:</t>
  </si>
  <si>
    <t>a.</t>
  </si>
  <si>
    <t>Fillet weld size using the elastic method.</t>
  </si>
  <si>
    <t>AB</t>
  </si>
  <si>
    <t>BC</t>
  </si>
  <si>
    <t>CD</t>
  </si>
  <si>
    <t>x-coor</t>
  </si>
  <si>
    <t>y-coor</t>
  </si>
  <si>
    <t>xL</t>
  </si>
  <si>
    <t>yL</t>
  </si>
  <si>
    <t>Total</t>
  </si>
  <si>
    <t>Find center of weld group (relative to point C)</t>
  </si>
  <si>
    <t>Determine Ip relative to the CG.  (Assume the te = 1)</t>
  </si>
  <si>
    <t>Area</t>
  </si>
  <si>
    <t>Iox</t>
  </si>
  <si>
    <t>b</t>
  </si>
  <si>
    <t>h</t>
  </si>
  <si>
    <t>Ay^2</t>
  </si>
  <si>
    <t>Ix</t>
  </si>
  <si>
    <t>Ioy</t>
  </si>
  <si>
    <t>Ax^2</t>
  </si>
  <si>
    <t>Iy</t>
  </si>
  <si>
    <t>Ip</t>
  </si>
  <si>
    <t>(in^4)</t>
  </si>
  <si>
    <t>The controlling load case is LRFD LC2</t>
  </si>
  <si>
    <t>The controlling load case is ASD LC2</t>
  </si>
  <si>
    <t>Composite load factor for LRFD:</t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</si>
  <si>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</si>
  <si>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t>Composite load factor for ASD:</t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</si>
  <si>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</si>
  <si>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t>Determine Stresses</t>
  </si>
  <si>
    <t>Pux =</t>
  </si>
  <si>
    <t>Puy =</t>
  </si>
  <si>
    <t>Pax =</t>
  </si>
  <si>
    <t>Pay =</t>
  </si>
  <si>
    <t>LRFD</t>
  </si>
  <si>
    <t>x-dir</t>
  </si>
  <si>
    <t>ydir</t>
  </si>
  <si>
    <t>A</t>
  </si>
  <si>
    <t>B</t>
  </si>
  <si>
    <t>C</t>
  </si>
  <si>
    <t>Point</t>
  </si>
  <si>
    <t>Translational</t>
  </si>
  <si>
    <t>Rotational</t>
  </si>
  <si>
    <t>Determine geometric data</t>
  </si>
  <si>
    <t>c</t>
  </si>
  <si>
    <t>Stress</t>
  </si>
  <si>
    <t>e</t>
  </si>
  <si>
    <t>Pu e =</t>
  </si>
  <si>
    <t>in-k</t>
  </si>
  <si>
    <t>Pa e =</t>
  </si>
  <si>
    <t>Resultant</t>
  </si>
  <si>
    <t>Area =</t>
  </si>
  <si>
    <t>Ip =</t>
  </si>
  <si>
    <t>(k/in/te)</t>
  </si>
  <si>
    <t>Maximum</t>
  </si>
  <si>
    <r>
      <t>r = 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* 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&lt;=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</t>
    </r>
  </si>
  <si>
    <t>fw</t>
  </si>
  <si>
    <t>A36 Steel</t>
  </si>
  <si>
    <t>F6 electrode</t>
  </si>
  <si>
    <t xml:space="preserve">   Fexx</t>
  </si>
  <si>
    <r>
      <t xml:space="preserve">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= </t>
    </r>
    <r>
      <rPr>
        <sz val="10"/>
        <rFont val="Arial"/>
        <family val="0"/>
      </rPr>
      <t xml:space="preserve"> </t>
    </r>
  </si>
  <si>
    <r>
      <t>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&lt;=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0.60 F</t>
    </r>
    <r>
      <rPr>
        <vertAlign val="subscript"/>
        <sz val="10"/>
        <rFont val="Arial"/>
        <family val="2"/>
      </rPr>
      <t>EXX</t>
    </r>
    <r>
      <rPr>
        <sz val="10"/>
        <rFont val="Arial"/>
        <family val="0"/>
      </rPr>
      <t xml:space="preserve"> </t>
    </r>
  </si>
  <si>
    <t>Use:</t>
  </si>
  <si>
    <t>1/2" fillet weld</t>
  </si>
  <si>
    <r>
      <t xml:space="preserve">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  </t>
    </r>
  </si>
  <si>
    <r>
      <t>r = 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* 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&lt;= 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</si>
  <si>
    <r>
      <t>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&lt;= 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 0.60 F</t>
    </r>
    <r>
      <rPr>
        <vertAlign val="subscript"/>
        <sz val="10"/>
        <rFont val="Arial"/>
        <family val="2"/>
      </rPr>
      <t>EXX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</si>
  <si>
    <t>All the terms in the following table can be multiplied by the actual te to get the associate property for that te.</t>
  </si>
  <si>
    <t>ASD</t>
  </si>
  <si>
    <t>Fillet weld size using the IC method</t>
  </si>
  <si>
    <t>b.</t>
  </si>
  <si>
    <t>Part (a)</t>
  </si>
  <si>
    <t>Part (b)</t>
  </si>
  <si>
    <t>divide the weld into one inch segments, numbered successively as you move from point A to point D.</t>
  </si>
  <si>
    <t>IC</t>
  </si>
  <si>
    <t>Relative to CG</t>
  </si>
  <si>
    <t>Realative to IC</t>
  </si>
  <si>
    <t>Angle frm</t>
  </si>
  <si>
    <t>Vertical</t>
  </si>
  <si>
    <t>Reaction</t>
  </si>
  <si>
    <r>
      <t>D</t>
    </r>
    <r>
      <rPr>
        <sz val="10"/>
        <rFont val="Arial"/>
        <family val="0"/>
      </rPr>
      <t>m</t>
    </r>
  </si>
  <si>
    <t>p</t>
  </si>
  <si>
    <t xml:space="preserve">Def. at </t>
  </si>
  <si>
    <t>max stress</t>
  </si>
  <si>
    <t>Element</t>
  </si>
  <si>
    <t>f(p)</t>
  </si>
  <si>
    <t>Pw</t>
  </si>
  <si>
    <t>Pwx</t>
  </si>
  <si>
    <t>Pwy</t>
  </si>
  <si>
    <t>deg</t>
  </si>
  <si>
    <t>Equilibrium</t>
  </si>
  <si>
    <t>Computations for ro</t>
  </si>
  <si>
    <t>CG</t>
  </si>
  <si>
    <r>
      <t>r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</t>
    </r>
  </si>
  <si>
    <t>&lt;--- point of load application</t>
  </si>
  <si>
    <t>in (perp dist from IC to load path)</t>
  </si>
  <si>
    <t>Pw c</t>
  </si>
  <si>
    <t>(in-k)</t>
  </si>
  <si>
    <t>Pn = sum(Pwx)/sin(delta)</t>
  </si>
  <si>
    <t>Vert.:</t>
  </si>
  <si>
    <t xml:space="preserve">Horiz.: </t>
  </si>
  <si>
    <t>Pn = sum(Pwy)/cos(delta)</t>
  </si>
  <si>
    <t>maximum difference:</t>
  </si>
  <si>
    <t>Pn = sum(Pw c)/ro</t>
  </si>
  <si>
    <t xml:space="preserve">Moment: </t>
  </si>
  <si>
    <t>Use Pn =</t>
  </si>
  <si>
    <r>
      <t>f</t>
    </r>
    <r>
      <rPr>
        <sz val="10"/>
        <rFont val="Arial"/>
        <family val="0"/>
      </rPr>
      <t xml:space="preserve"> =</t>
    </r>
  </si>
  <si>
    <r>
      <t>W</t>
    </r>
    <r>
      <rPr>
        <sz val="10"/>
        <rFont val="Arial"/>
        <family val="0"/>
      </rPr>
      <t xml:space="preserve"> =</t>
    </r>
  </si>
  <si>
    <r>
      <t>f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n</t>
    </r>
  </si>
  <si>
    <t>k/connection</t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</si>
  <si>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f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</si>
  <si>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</t>
    </r>
  </si>
  <si>
    <r>
      <t>Pa / (P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  <r>
      <rPr>
        <sz val="10"/>
        <rFont val="Arial"/>
        <family val="0"/>
      </rPr>
      <t>) =</t>
    </r>
  </si>
  <si>
    <t>Part (c.)</t>
  </si>
  <si>
    <t>See SCM pgs 8-90 and 8-91</t>
  </si>
  <si>
    <t>l</t>
  </si>
  <si>
    <t>Angle:</t>
  </si>
  <si>
    <t>Interpolate between tables</t>
  </si>
  <si>
    <t>Interpolate on adjacent tables</t>
  </si>
  <si>
    <t>&lt;--- use this C</t>
  </si>
  <si>
    <t>C1 =</t>
  </si>
  <si>
    <t>kl =</t>
  </si>
  <si>
    <t>ex =</t>
  </si>
  <si>
    <t>l =</t>
  </si>
  <si>
    <t xml:space="preserve">Pa  </t>
  </si>
  <si>
    <t>Dmin =</t>
  </si>
  <si>
    <t>5/16" fillet weld</t>
  </si>
  <si>
    <t>Compute a coefficient as found in the Tables (see SCM pg 8-90)</t>
  </si>
  <si>
    <t>C1</t>
  </si>
  <si>
    <r>
      <t xml:space="preserve">Pu /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= Pa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 Pn =</t>
    </r>
  </si>
  <si>
    <t>C =</t>
  </si>
  <si>
    <t xml:space="preserve"> Use a =</t>
  </si>
  <si>
    <t>ksi &lt;=</t>
  </si>
  <si>
    <r>
      <t>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</t>
    </r>
  </si>
  <si>
    <r>
      <t>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/ (F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sz val="10"/>
        <rFont val="Arial"/>
        <family val="0"/>
      </rPr>
      <t>) =</t>
    </r>
  </si>
  <si>
    <r>
      <t>F</t>
    </r>
    <r>
      <rPr>
        <vertAlign val="subscript"/>
        <sz val="10"/>
        <rFont val="Arial"/>
        <family val="2"/>
      </rPr>
      <t>EXX</t>
    </r>
  </si>
  <si>
    <r>
      <t>F</t>
    </r>
    <r>
      <rPr>
        <vertAlign val="subscript"/>
        <sz val="10"/>
        <rFont val="Arial"/>
        <family val="2"/>
      </rPr>
      <t>u</t>
    </r>
  </si>
  <si>
    <r>
      <t>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</si>
  <si>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</si>
  <si>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</si>
  <si>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&gt;=</t>
    </r>
  </si>
  <si>
    <r>
      <t>F</t>
    </r>
    <r>
      <rPr>
        <vertAlign val="subscript"/>
        <sz val="10"/>
        <rFont val="Arial"/>
        <family val="2"/>
      </rPr>
      <t>y</t>
    </r>
  </si>
  <si>
    <r>
      <t>A</t>
    </r>
    <r>
      <rPr>
        <vertAlign val="subscript"/>
        <sz val="10"/>
        <rFont val="Arial"/>
        <family val="2"/>
      </rPr>
      <t>g</t>
    </r>
  </si>
  <si>
    <r>
      <t>Solution</t>
    </r>
    <r>
      <rPr>
        <sz val="10"/>
        <rFont val="Arial"/>
        <family val="0"/>
      </rPr>
      <t>:</t>
    </r>
  </si>
  <si>
    <r>
      <t>P</t>
    </r>
    <r>
      <rPr>
        <vertAlign val="subscript"/>
        <sz val="10"/>
        <rFont val="Arial"/>
        <family val="2"/>
      </rPr>
      <t>u</t>
    </r>
  </si>
  <si>
    <r>
      <t>a</t>
    </r>
    <r>
      <rPr>
        <vertAlign val="subscript"/>
        <sz val="10"/>
        <rFont val="Arial"/>
        <family val="2"/>
      </rPr>
      <t>min</t>
    </r>
  </si>
  <si>
    <r>
      <t>a</t>
    </r>
    <r>
      <rPr>
        <vertAlign val="subscript"/>
        <sz val="10"/>
        <rFont val="Arial"/>
        <family val="2"/>
      </rPr>
      <t>max</t>
    </r>
  </si>
  <si>
    <r>
      <t>a</t>
    </r>
    <r>
      <rPr>
        <vertAlign val="subscript"/>
        <sz val="10"/>
        <rFont val="Arial"/>
        <family val="2"/>
      </rPr>
      <t>(max effective)</t>
    </r>
  </si>
  <si>
    <t>f</t>
  </si>
  <si>
    <r>
      <t>t</t>
    </r>
    <r>
      <rPr>
        <vertAlign val="subscript"/>
        <sz val="10"/>
        <rFont val="Arial"/>
        <family val="2"/>
      </rPr>
      <t>e</t>
    </r>
  </si>
  <si>
    <r>
      <t>r</t>
    </r>
    <r>
      <rPr>
        <vertAlign val="subscript"/>
        <sz val="10"/>
        <rFont val="Arial"/>
        <family val="2"/>
      </rPr>
      <t>n</t>
    </r>
  </si>
  <si>
    <r>
      <t>f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n</t>
    </r>
  </si>
  <si>
    <r>
      <t>t</t>
    </r>
    <r>
      <rPr>
        <vertAlign val="subscript"/>
        <sz val="10"/>
        <rFont val="Arial"/>
        <family val="2"/>
      </rPr>
      <t>bm</t>
    </r>
  </si>
  <si>
    <r>
      <t xml:space="preserve">Controlling strength, </t>
    </r>
    <r>
      <rPr>
        <sz val="10"/>
        <rFont val="Symbol"/>
        <family val="1"/>
      </rPr>
      <t>f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</si>
  <si>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k  (LRFD LC-4)</t>
  </si>
  <si>
    <t>part (a):</t>
  </si>
  <si>
    <t>The largest weld size will be controlled either by the thickness of the angle leg</t>
  </si>
  <si>
    <t>or shear rupture in the base metal.</t>
  </si>
  <si>
    <t>k/in  (the weld metal controls over the base metal.)</t>
  </si>
  <si>
    <t>Balance the Welds</t>
  </si>
  <si>
    <t>Arm, y</t>
  </si>
  <si>
    <t>Ly</t>
  </si>
  <si>
    <r>
      <t>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</si>
  <si>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part (b):</t>
  </si>
  <si>
    <t>For this part use the largest effective weld for L1 and the max allowed for L2 and L3.</t>
  </si>
  <si>
    <t>Leg</t>
  </si>
  <si>
    <t>(k/in)</t>
  </si>
  <si>
    <t>moments taken about "base", L1</t>
  </si>
  <si>
    <t>Moment</t>
  </si>
  <si>
    <t>You need to complete drawings with appropriate weld symbols!</t>
  </si>
  <si>
    <t>You might observe that all we did was change the size and length of L1… in</t>
  </si>
  <si>
    <t>both parts (a) and (b) the welds have the same capacities.</t>
  </si>
  <si>
    <t>Capacity</t>
  </si>
  <si>
    <t>last modified:  9 Aug 2007</t>
  </si>
  <si>
    <t xml:space="preserve">L </t>
  </si>
  <si>
    <r>
      <t xml:space="preserve">Gusset Plate thickness </t>
    </r>
    <r>
      <rPr>
        <u val="single"/>
        <sz val="10"/>
        <rFont val="Arial"/>
        <family val="2"/>
      </rPr>
      <t>&gt;</t>
    </r>
  </si>
  <si>
    <t>part (a):  Consider the effects of theta:</t>
  </si>
  <si>
    <t>part (b):  Ignoring effects of theta</t>
  </si>
  <si>
    <t>part ( c):  Thickness of gusset plate to prevent shear rupture</t>
  </si>
  <si>
    <t>by:  TBQ</t>
  </si>
  <si>
    <r>
      <t>D</t>
    </r>
    <r>
      <rPr>
        <sz val="10"/>
        <rFont val="Arial"/>
        <family val="0"/>
      </rPr>
      <t xml:space="preserve">u </t>
    </r>
  </si>
  <si>
    <t>ult stress</t>
  </si>
  <si>
    <r>
      <t>D</t>
    </r>
    <r>
      <rPr>
        <sz val="10"/>
        <rFont val="Arial"/>
        <family val="0"/>
      </rPr>
      <t>u / c</t>
    </r>
  </si>
  <si>
    <r>
      <t>atan(</t>
    </r>
    <r>
      <rPr>
        <sz val="10"/>
        <rFont val="Symbol"/>
        <family val="1"/>
      </rPr>
      <t>d</t>
    </r>
    <r>
      <rPr>
        <sz val="10"/>
        <rFont val="Arial"/>
        <family val="0"/>
      </rPr>
      <t>) =</t>
    </r>
  </si>
  <si>
    <r>
      <t>r</t>
    </r>
    <r>
      <rPr>
        <vertAlign val="subscript"/>
        <sz val="10"/>
        <rFont val="Arial"/>
        <family val="2"/>
      </rPr>
      <t>ox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</si>
  <si>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oy</t>
    </r>
    <r>
      <rPr>
        <sz val="10"/>
        <rFont val="Arial"/>
        <family val="2"/>
      </rPr>
      <t xml:space="preserve"> =</t>
    </r>
  </si>
  <si>
    <t>These values found by computing</t>
  </si>
  <si>
    <t>slope we know and a point that each</t>
  </si>
  <si>
    <t>passes through.</t>
  </si>
  <si>
    <t xml:space="preserve">a </t>
  </si>
  <si>
    <t>&lt;--- change until balance</t>
  </si>
  <si>
    <t xml:space="preserve">the intersection of two lines whose </t>
  </si>
  <si>
    <t>Example 5.4</t>
  </si>
  <si>
    <t>Example 5.1</t>
  </si>
  <si>
    <t>Example 5.2</t>
  </si>
  <si>
    <t>Example 5.3</t>
  </si>
  <si>
    <t>Results Summary:</t>
  </si>
  <si>
    <t>Computations follow</t>
  </si>
  <si>
    <t>c.</t>
  </si>
  <si>
    <t>Fillet weld by AISC Coefficient method</t>
  </si>
  <si>
    <t>Elastic Method</t>
  </si>
  <si>
    <t>IC Method</t>
  </si>
  <si>
    <t>Coefficient Method</t>
  </si>
  <si>
    <t>1/4" fillet weld</t>
  </si>
  <si>
    <r>
      <t xml:space="preserve">Knowing that Req'd Pn = Pu /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 and/or Req'd Pn = Pa </t>
    </r>
    <r>
      <rPr>
        <sz val="10"/>
        <rFont val="Symbol"/>
        <family val="1"/>
      </rPr>
      <t>W</t>
    </r>
    <r>
      <rPr>
        <sz val="10"/>
        <rFont val="Arial"/>
        <family val="0"/>
      </rPr>
      <t>:</t>
    </r>
  </si>
  <si>
    <t>Example 5.5</t>
  </si>
  <si>
    <t>last modified:  12 July 2008</t>
  </si>
  <si>
    <t>Weld Size</t>
  </si>
  <si>
    <t>/16 ths</t>
  </si>
  <si>
    <t>Left</t>
  </si>
  <si>
    <t>Right</t>
  </si>
  <si>
    <t>Find the section properties for the weld group</t>
  </si>
  <si>
    <t>in^2/ inch of weld length</t>
  </si>
  <si>
    <t>Relative to NA of weld group</t>
  </si>
  <si>
    <t>Height</t>
  </si>
  <si>
    <t>Width</t>
  </si>
  <si>
    <t>kip</t>
  </si>
  <si>
    <t xml:space="preserve">Pe </t>
  </si>
  <si>
    <t>fx</t>
  </si>
  <si>
    <t>fy</t>
  </si>
  <si>
    <t>Max weld force = fw Aw =</t>
  </si>
  <si>
    <t>k/in of weld</t>
  </si>
  <si>
    <t>Ratio P / Max weld force =</t>
  </si>
  <si>
    <t>Max allowed weld force:</t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</si>
  <si>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* A</t>
    </r>
    <r>
      <rPr>
        <vertAlign val="subscript"/>
        <sz val="10"/>
        <rFont val="Arial"/>
        <family val="2"/>
      </rPr>
      <t>w</t>
    </r>
  </si>
  <si>
    <t>k/in of weld length</t>
  </si>
  <si>
    <t>Max force, P, that can be applied to the weld group as shown:</t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</si>
  <si>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* (P / Max weld force) =</t>
    </r>
  </si>
  <si>
    <t>tpl</t>
  </si>
  <si>
    <t>Find center of weld group (relative to top of the weld group)</t>
  </si>
  <si>
    <t xml:space="preserve">Stress in Top due to a unit load, P </t>
  </si>
  <si>
    <t>F7 electrode</t>
  </si>
  <si>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0.6*F</t>
    </r>
    <r>
      <rPr>
        <vertAlign val="subscript"/>
        <sz val="10"/>
        <rFont val="Arial"/>
        <family val="2"/>
      </rPr>
      <t>EXX</t>
    </r>
  </si>
  <si>
    <t>Find the composite Load Factors:</t>
  </si>
  <si>
    <t xml:space="preserve">  Dead</t>
  </si>
  <si>
    <t xml:space="preserve">  Live</t>
  </si>
  <si>
    <t>parts</t>
  </si>
  <si>
    <r>
      <t>LRFD:  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</si>
  <si>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s,eq</t>
    </r>
  </si>
  <si>
    <r>
      <t>ASD:  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</si>
  <si>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</si>
  <si>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</si>
  <si>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s,eq</t>
    </r>
    <r>
      <rPr>
        <sz val="10"/>
        <rFont val="Arial"/>
        <family val="0"/>
      </rPr>
      <t xml:space="preserve"> = </t>
    </r>
  </si>
  <si>
    <t>CLF =</t>
  </si>
  <si>
    <t>&lt;--- maximum beam reaction</t>
  </si>
  <si>
    <t xml:space="preserve">Solution Summary: </t>
  </si>
  <si>
    <t>Calculations follow</t>
  </si>
  <si>
    <t>&lt;---- use</t>
  </si>
  <si>
    <t>Find coefficient, C, by interpolation:</t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</si>
  <si>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</si>
  <si>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>1</t>
    </r>
  </si>
  <si>
    <t>Using coefficients found on SCM pg 8-66</t>
  </si>
  <si>
    <r>
      <t>Maximum Beam Reaction (in P</t>
    </r>
    <r>
      <rPr>
        <vertAlign val="subscript"/>
        <sz val="10"/>
        <rFont val="Arial"/>
        <family val="2"/>
      </rPr>
      <t>s,eq</t>
    </r>
    <r>
      <rPr>
        <sz val="10"/>
        <rFont val="Arial"/>
        <family val="2"/>
      </rPr>
      <t xml:space="preserve"> terms)</t>
    </r>
  </si>
  <si>
    <t>LRFD and ASD load case 2 controls</t>
  </si>
  <si>
    <t>last modified:  24 January 2019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</si>
</sst>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Symbol"/>
      <family val="1"/>
    </font>
    <font>
      <vertAlign val="subscript"/>
      <sz val="8"/>
      <name val="Tahoma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2"/>
    </font>
    <font>
      <sz val="10.5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 quotePrefix="1">
      <alignment/>
      <protection hidden="1"/>
    </xf>
    <xf numFmtId="166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7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2" fillId="34" borderId="16" xfId="0" applyFont="1" applyFill="1" applyBorder="1" applyAlignment="1" applyProtection="1">
      <alignment/>
      <protection hidden="1"/>
    </xf>
    <xf numFmtId="2" fontId="2" fillId="34" borderId="17" xfId="0" applyNumberFormat="1" applyFont="1" applyFill="1" applyBorder="1" applyAlignment="1" applyProtection="1">
      <alignment/>
      <protection hidden="1"/>
    </xf>
    <xf numFmtId="0" fontId="2" fillId="34" borderId="18" xfId="0" applyFont="1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65" fontId="0" fillId="0" borderId="0" xfId="0" applyNumberFormat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166" fontId="0" fillId="0" borderId="11" xfId="0" applyNumberFormat="1" applyBorder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65" fontId="0" fillId="0" borderId="13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165" fontId="0" fillId="0" borderId="11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67" fontId="0" fillId="35" borderId="13" xfId="0" applyNumberFormat="1" applyFill="1" applyBorder="1" applyAlignment="1" applyProtection="1">
      <alignment horizontal="center"/>
      <protection hidden="1"/>
    </xf>
    <xf numFmtId="167" fontId="0" fillId="35" borderId="11" xfId="0" applyNumberFormat="1" applyFill="1" applyBorder="1" applyAlignment="1" applyProtection="1">
      <alignment horizontal="center"/>
      <protection hidden="1"/>
    </xf>
    <xf numFmtId="167" fontId="0" fillId="0" borderId="13" xfId="0" applyNumberFormat="1" applyBorder="1" applyAlignment="1" applyProtection="1">
      <alignment horizontal="center"/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167" fontId="0" fillId="0" borderId="1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67" fontId="0" fillId="0" borderId="0" xfId="0" applyNumberFormat="1" applyAlignment="1" applyProtection="1">
      <alignment horizontal="center"/>
      <protection hidden="1"/>
    </xf>
    <xf numFmtId="2" fontId="0" fillId="33" borderId="0" xfId="0" applyNumberFormat="1" applyFill="1" applyAlignment="1" applyProtection="1">
      <alignment/>
      <protection locked="0"/>
    </xf>
    <xf numFmtId="166" fontId="0" fillId="35" borderId="0" xfId="0" applyNumberFormat="1" applyFill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" fillId="35" borderId="16" xfId="0" applyFont="1" applyFill="1" applyBorder="1" applyAlignment="1" applyProtection="1">
      <alignment/>
      <protection hidden="1"/>
    </xf>
    <xf numFmtId="0" fontId="2" fillId="35" borderId="18" xfId="0" applyFont="1" applyFill="1" applyBorder="1" applyAlignment="1" applyProtection="1" quotePrefix="1">
      <alignment/>
      <protection hidden="1"/>
    </xf>
    <xf numFmtId="0" fontId="0" fillId="0" borderId="0" xfId="0" applyAlignment="1" applyProtection="1">
      <alignment/>
      <protection hidden="1"/>
    </xf>
    <xf numFmtId="168" fontId="0" fillId="0" borderId="0" xfId="57" applyNumberFormat="1" applyFont="1" applyAlignment="1" applyProtection="1">
      <alignment/>
      <protection hidden="1"/>
    </xf>
    <xf numFmtId="0" fontId="2" fillId="33" borderId="18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1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/>
      <protection hidden="1"/>
    </xf>
    <xf numFmtId="11" fontId="0" fillId="0" borderId="13" xfId="0" applyNumberFormat="1" applyBorder="1" applyAlignment="1" applyProtection="1">
      <alignment horizontal="center"/>
      <protection hidden="1"/>
    </xf>
    <xf numFmtId="165" fontId="0" fillId="0" borderId="13" xfId="0" applyNumberFormat="1" applyBorder="1" applyAlignment="1" applyProtection="1">
      <alignment/>
      <protection hidden="1"/>
    </xf>
    <xf numFmtId="11" fontId="0" fillId="0" borderId="0" xfId="0" applyNumberForma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/>
      <protection hidden="1"/>
    </xf>
    <xf numFmtId="11" fontId="0" fillId="0" borderId="11" xfId="0" applyNumberFormat="1" applyBorder="1" applyAlignment="1" applyProtection="1">
      <alignment horizontal="center"/>
      <protection hidden="1"/>
    </xf>
    <xf numFmtId="165" fontId="0" fillId="0" borderId="11" xfId="0" applyNumberFormat="1" applyBorder="1" applyAlignment="1" applyProtection="1">
      <alignment/>
      <protection hidden="1"/>
    </xf>
    <xf numFmtId="11" fontId="0" fillId="0" borderId="0" xfId="0" applyNumberFormat="1" applyAlignment="1" applyProtection="1">
      <alignment/>
      <protection hidden="1"/>
    </xf>
    <xf numFmtId="167" fontId="0" fillId="0" borderId="11" xfId="0" applyNumberFormat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2" fontId="0" fillId="34" borderId="0" xfId="0" applyNumberFormat="1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166" fontId="0" fillId="0" borderId="14" xfId="0" applyNumberFormat="1" applyBorder="1" applyAlignment="1" applyProtection="1">
      <alignment horizontal="center"/>
      <protection hidden="1"/>
    </xf>
    <xf numFmtId="166" fontId="0" fillId="34" borderId="21" xfId="0" applyNumberFormat="1" applyFill="1" applyBorder="1" applyAlignment="1" applyProtection="1">
      <alignment horizontal="center"/>
      <protection hidden="1"/>
    </xf>
    <xf numFmtId="166" fontId="0" fillId="0" borderId="19" xfId="0" applyNumberFormat="1" applyBorder="1" applyAlignment="1" applyProtection="1">
      <alignment horizontal="center"/>
      <protection hidden="1"/>
    </xf>
    <xf numFmtId="0" fontId="2" fillId="35" borderId="17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167" fontId="2" fillId="33" borderId="17" xfId="0" applyNumberFormat="1" applyFont="1" applyFill="1" applyBorder="1" applyAlignment="1" applyProtection="1" quotePrefix="1">
      <alignment/>
      <protection locked="0"/>
    </xf>
    <xf numFmtId="0" fontId="0" fillId="0" borderId="0" xfId="0" applyFont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167" fontId="0" fillId="36" borderId="0" xfId="0" applyNumberFormat="1" applyFill="1" applyAlignment="1" applyProtection="1">
      <alignment/>
      <protection hidden="1"/>
    </xf>
    <xf numFmtId="0" fontId="12" fillId="0" borderId="11" xfId="0" applyFont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0" fillId="36" borderId="14" xfId="0" applyFill="1" applyBorder="1" applyAlignment="1" applyProtection="1">
      <alignment/>
      <protection hidden="1"/>
    </xf>
    <xf numFmtId="0" fontId="0" fillId="36" borderId="20" xfId="0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/>
      <protection hidden="1"/>
    </xf>
    <xf numFmtId="167" fontId="0" fillId="36" borderId="15" xfId="0" applyNumberFormat="1" applyFill="1" applyBorder="1" applyAlignment="1" applyProtection="1">
      <alignment/>
      <protection hidden="1"/>
    </xf>
    <xf numFmtId="0" fontId="0" fillId="36" borderId="19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Font="1" applyAlignment="1" applyProtection="1" quotePrefix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166" fontId="0" fillId="0" borderId="12" xfId="0" applyNumberFormat="1" applyBorder="1" applyAlignment="1" applyProtection="1">
      <alignment horizontal="center"/>
      <protection hidden="1"/>
    </xf>
    <xf numFmtId="166" fontId="0" fillId="0" borderId="21" xfId="0" applyNumberFormat="1" applyBorder="1" applyAlignment="1" applyProtection="1">
      <alignment horizontal="center"/>
      <protection hidden="1"/>
    </xf>
    <xf numFmtId="166" fontId="0" fillId="0" borderId="20" xfId="0" applyNumberFormat="1" applyBorder="1" applyAlignment="1" applyProtection="1">
      <alignment horizontal="center"/>
      <protection hidden="1"/>
    </xf>
    <xf numFmtId="166" fontId="0" fillId="0" borderId="15" xfId="0" applyNumberFormat="1" applyBorder="1" applyAlignment="1" applyProtection="1">
      <alignment horizontal="center"/>
      <protection hidden="1"/>
    </xf>
    <xf numFmtId="0" fontId="0" fillId="36" borderId="16" xfId="0" applyFont="1" applyFill="1" applyBorder="1" applyAlignment="1" applyProtection="1">
      <alignment/>
      <protection hidden="1"/>
    </xf>
    <xf numFmtId="2" fontId="0" fillId="36" borderId="17" xfId="0" applyNumberFormat="1" applyFill="1" applyBorder="1" applyAlignment="1" applyProtection="1">
      <alignment/>
      <protection hidden="1"/>
    </xf>
    <xf numFmtId="0" fontId="0" fillId="36" borderId="18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2" fontId="0" fillId="36" borderId="0" xfId="0" applyNumberFormat="1" applyFill="1" applyBorder="1" applyAlignment="1" applyProtection="1">
      <alignment horizontal="center"/>
      <protection hidden="1"/>
    </xf>
    <xf numFmtId="2" fontId="0" fillId="36" borderId="16" xfId="0" applyNumberFormat="1" applyFill="1" applyBorder="1" applyAlignment="1" applyProtection="1">
      <alignment horizontal="center"/>
      <protection hidden="1"/>
    </xf>
    <xf numFmtId="2" fontId="0" fillId="36" borderId="18" xfId="0" applyNumberForma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37" borderId="0" xfId="0" applyFill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166" fontId="0" fillId="38" borderId="0" xfId="0" applyNumberFormat="1" applyFill="1" applyAlignment="1" applyProtection="1">
      <alignment horizontal="center"/>
      <protection locked="0"/>
    </xf>
    <xf numFmtId="0" fontId="0" fillId="38" borderId="0" xfId="0" applyFill="1" applyAlignment="1" applyProtection="1">
      <alignment horizontal="center"/>
      <protection locked="0"/>
    </xf>
    <xf numFmtId="166" fontId="0" fillId="33" borderId="0" xfId="0" applyNumberForma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447675</xdr:colOff>
      <xdr:row>11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485775"/>
          <a:ext cx="41052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Given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The connection shown has a gusset plate fitted into a slot in an HSS section.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gusset plate is A992 steel.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HSS is A500 Gr B steel.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electrode is F7.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consists of 50 k Dead load and 150 k Seismic Load.  Use ASD.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8</xdr:col>
      <xdr:colOff>114300</xdr:colOff>
      <xdr:row>34</xdr:row>
      <xdr:rowOff>133350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5257800"/>
          <a:ext cx="49911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Determine the size and required lengths of the fillet welds so as to minimize the lap of the connection.  Draw the appropriate fillet weld on your summary detail drawing.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104775</xdr:rowOff>
    </xdr:from>
    <xdr:ext cx="5000625" cy="533400"/>
    <xdr:sp>
      <xdr:nvSpPr>
        <xdr:cNvPr id="1" name="Text Box 2"/>
        <xdr:cNvSpPr txBox="1">
          <a:spLocks noChangeArrowheads="1"/>
        </xdr:cNvSpPr>
      </xdr:nvSpPr>
      <xdr:spPr>
        <a:xfrm>
          <a:off x="0" y="752475"/>
          <a:ext cx="50006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Given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The single angle connection shown.   A992 steel and E70 electrodes are used.  The gusset plate is 3/8 inch thick.  The Tension load is 25 k Dead Load and 40 k Wind Load.  Use LRFD.</a:t>
          </a:r>
        </a:p>
      </xdr:txBody>
    </xdr:sp>
    <xdr:clientData/>
  </xdr:oneCellAnchor>
  <xdr:twoCellAnchor>
    <xdr:from>
      <xdr:col>0</xdr:col>
      <xdr:colOff>0</xdr:colOff>
      <xdr:row>34</xdr:row>
      <xdr:rowOff>133350</xdr:rowOff>
    </xdr:from>
    <xdr:to>
      <xdr:col>9</xdr:col>
      <xdr:colOff>9525</xdr:colOff>
      <xdr:row>40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5791200"/>
          <a:ext cx="54959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Determine the size and required lengths of the welds so as to minimize the lap of the connection.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All fillet welds are the same size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Fillet welds may be different sizes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28575</xdr:rowOff>
    </xdr:from>
    <xdr:to>
      <xdr:col>9</xdr:col>
      <xdr:colOff>400050</xdr:colOff>
      <xdr:row>8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514350"/>
          <a:ext cx="58483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Given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The connection shown has a flat plate tension member attached to a gusset plate.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plates are A36 steel.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electrode is F6.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weld size a = 3/8”
</a:t>
          </a:r>
        </a:p>
      </xdr:txBody>
    </xdr:sp>
    <xdr:clientData/>
  </xdr:twoCellAnchor>
  <xdr:twoCellAnchor>
    <xdr:from>
      <xdr:col>0</xdr:col>
      <xdr:colOff>28575</xdr:colOff>
      <xdr:row>17</xdr:row>
      <xdr:rowOff>9525</xdr:rowOff>
    </xdr:from>
    <xdr:to>
      <xdr:col>7</xdr:col>
      <xdr:colOff>161925</xdr:colOff>
      <xdr:row>23</xdr:row>
      <xdr:rowOff>95250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575" y="2838450"/>
          <a:ext cx="44005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Determine the weld strength of the connection considering the effect of the angle of load to weld axis.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Determine the weld strength of the connection not considering the effect of angle of load to weld axis.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Determine the thickness of the gusset plate to prevent shear rupture. 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28575</xdr:rowOff>
    </xdr:from>
    <xdr:to>
      <xdr:col>9</xdr:col>
      <xdr:colOff>400050</xdr:colOff>
      <xdr:row>8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514350"/>
          <a:ext cx="58483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Given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connection plate is welded to the face of a W section column flange and is bolted to the web of a W section beam as shown.  The connection plate is ASTM A36 steel that is 1/4" thick.  The W sections are ASTM A992 steel.  The weld electrode is F7.  A = 2 inches and B is to 9 inches.  The weld size, a1, is 1/4 inch.  The beam reaction transferred by the connection plate is 3 parts dead load and 5 parts live load.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26</xdr:row>
      <xdr:rowOff>9525</xdr:rowOff>
    </xdr:from>
    <xdr:to>
      <xdr:col>7</xdr:col>
      <xdr:colOff>161925</xdr:colOff>
      <xdr:row>32</xdr:row>
      <xdr:rowOff>95250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575" y="4219575"/>
          <a:ext cx="44005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 Determine the maximum beam reaction based on weld strength of the fillet welds that connect the plate to the W section.  Use LRFD and express your result in terms of comparable service level loads.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repeat the problem using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coefficients on SCM pg 8-66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8" ht="12.75">
      <c r="A1" s="2" t="s">
        <v>50</v>
      </c>
      <c r="H1" s="2" t="s">
        <v>51</v>
      </c>
    </row>
    <row r="2" spans="1:8" ht="12.75">
      <c r="A2" s="3" t="s">
        <v>273</v>
      </c>
      <c r="H2" s="2" t="s">
        <v>259</v>
      </c>
    </row>
    <row r="4" ht="12.75">
      <c r="A4" s="3"/>
    </row>
    <row r="5" ht="12.75">
      <c r="A5" s="3"/>
    </row>
    <row r="6" ht="12.75">
      <c r="A6" s="3"/>
    </row>
    <row r="7" ht="12.75">
      <c r="A7" s="3"/>
    </row>
    <row r="8" ht="12.75">
      <c r="A8" s="3"/>
    </row>
    <row r="9" ht="12.75">
      <c r="A9" s="3"/>
    </row>
    <row r="10" ht="12.75">
      <c r="A10" s="3"/>
    </row>
    <row r="11" ht="12.75">
      <c r="A11" s="3"/>
    </row>
    <row r="12" ht="12.75">
      <c r="A12" s="3"/>
    </row>
    <row r="13" ht="12.75">
      <c r="A13" s="3"/>
    </row>
    <row r="14" spans="2:5" ht="12.75">
      <c r="B14" s="4" t="s">
        <v>3</v>
      </c>
      <c r="C14" s="4"/>
      <c r="E14" s="2" t="s">
        <v>33</v>
      </c>
    </row>
    <row r="15" spans="2:8" ht="12.75">
      <c r="B15" s="2" t="s">
        <v>0</v>
      </c>
      <c r="C15" s="25">
        <v>50</v>
      </c>
      <c r="D15" s="2" t="s">
        <v>13</v>
      </c>
      <c r="F15" s="5" t="s">
        <v>25</v>
      </c>
      <c r="G15" s="5" t="s">
        <v>26</v>
      </c>
      <c r="H15" s="5" t="s">
        <v>27</v>
      </c>
    </row>
    <row r="16" spans="2:9" ht="15.75">
      <c r="B16" s="2" t="s">
        <v>29</v>
      </c>
      <c r="C16" s="25">
        <v>150</v>
      </c>
      <c r="D16" s="2" t="s">
        <v>13</v>
      </c>
      <c r="E16" s="2" t="s">
        <v>46</v>
      </c>
      <c r="F16" s="20">
        <v>50</v>
      </c>
      <c r="G16" s="21">
        <v>46</v>
      </c>
      <c r="H16" s="8"/>
      <c r="I16" s="2" t="s">
        <v>5</v>
      </c>
    </row>
    <row r="17" spans="5:9" ht="15.75">
      <c r="E17" s="2" t="s">
        <v>47</v>
      </c>
      <c r="F17" s="22">
        <v>65</v>
      </c>
      <c r="G17" s="23">
        <v>58</v>
      </c>
      <c r="H17" s="24">
        <v>70</v>
      </c>
      <c r="I17" s="2" t="s">
        <v>5</v>
      </c>
    </row>
    <row r="18" spans="6:8" ht="12.75">
      <c r="F18" s="11"/>
      <c r="G18" s="11"/>
      <c r="H18" s="11"/>
    </row>
    <row r="19" spans="6:8" ht="12.75">
      <c r="F19" s="11"/>
      <c r="G19" s="11"/>
      <c r="H19" s="11"/>
    </row>
    <row r="20" spans="6:8" ht="12.75">
      <c r="F20" s="11"/>
      <c r="G20" s="11"/>
      <c r="H20" s="11"/>
    </row>
    <row r="21" spans="6:8" ht="12.75">
      <c r="F21" s="11"/>
      <c r="G21" s="11"/>
      <c r="H21" s="11"/>
    </row>
    <row r="22" spans="6:8" ht="12.75">
      <c r="F22" s="11"/>
      <c r="G22" s="11"/>
      <c r="H22" s="11"/>
    </row>
    <row r="23" spans="6:8" ht="12.75">
      <c r="F23" s="11"/>
      <c r="G23" s="11"/>
      <c r="H23" s="11"/>
    </row>
    <row r="24" spans="6:8" ht="12.75">
      <c r="F24" s="11"/>
      <c r="G24" s="11"/>
      <c r="H24" s="11"/>
    </row>
    <row r="25" spans="6:8" ht="12.75">
      <c r="F25" s="11"/>
      <c r="G25" s="11"/>
      <c r="H25" s="11"/>
    </row>
    <row r="26" spans="6:8" ht="12.75">
      <c r="F26" s="11"/>
      <c r="G26" s="11"/>
      <c r="H26" s="11"/>
    </row>
    <row r="27" spans="6:8" ht="12.75">
      <c r="F27" s="11"/>
      <c r="G27" s="11"/>
      <c r="H27" s="11"/>
    </row>
    <row r="28" spans="6:8" ht="12.75">
      <c r="F28" s="11"/>
      <c r="G28" s="11"/>
      <c r="H28" s="11"/>
    </row>
    <row r="29" spans="6:8" ht="12.75">
      <c r="F29" s="11"/>
      <c r="G29" s="11"/>
      <c r="H29" s="11"/>
    </row>
    <row r="30" spans="6:8" ht="12.75">
      <c r="F30" s="11"/>
      <c r="G30" s="11"/>
      <c r="H30" s="11"/>
    </row>
    <row r="31" spans="6:8" ht="12.75">
      <c r="F31" s="11"/>
      <c r="G31" s="11"/>
      <c r="H31" s="11"/>
    </row>
    <row r="32" spans="6:8" ht="12.75">
      <c r="F32" s="11"/>
      <c r="G32" s="11"/>
      <c r="H32" s="11"/>
    </row>
    <row r="33" spans="6:8" ht="12.75">
      <c r="F33" s="11"/>
      <c r="G33" s="11"/>
      <c r="H33" s="11"/>
    </row>
    <row r="37" ht="12.75">
      <c r="A37" s="3" t="s">
        <v>36</v>
      </c>
    </row>
    <row r="39" spans="2:4" ht="15.75">
      <c r="B39" s="2" t="s">
        <v>49</v>
      </c>
      <c r="C39" s="2">
        <f>+C15+0.7*C16</f>
        <v>155</v>
      </c>
      <c r="D39" s="2" t="s">
        <v>35</v>
      </c>
    </row>
    <row r="41" ht="12.75">
      <c r="B41" s="2" t="s">
        <v>41</v>
      </c>
    </row>
    <row r="42" spans="2:9" ht="12.75">
      <c r="B42" s="4" t="s">
        <v>26</v>
      </c>
      <c r="C42" s="4"/>
      <c r="E42" s="4" t="s">
        <v>28</v>
      </c>
      <c r="F42" s="4"/>
      <c r="H42" s="4" t="s">
        <v>32</v>
      </c>
      <c r="I42" s="4"/>
    </row>
    <row r="43" spans="2:10" ht="12.75">
      <c r="B43" s="2" t="s">
        <v>7</v>
      </c>
      <c r="C43" s="1">
        <v>0.375</v>
      </c>
      <c r="E43" s="2" t="s">
        <v>7</v>
      </c>
      <c r="F43" s="1">
        <v>0.75</v>
      </c>
      <c r="H43" s="2" t="s">
        <v>39</v>
      </c>
      <c r="I43" s="1">
        <v>7</v>
      </c>
      <c r="J43" s="12" t="s">
        <v>40</v>
      </c>
    </row>
    <row r="44" spans="2:9" ht="12.75">
      <c r="B44" s="2" t="s">
        <v>30</v>
      </c>
      <c r="C44" s="2">
        <v>4</v>
      </c>
      <c r="E44" s="2" t="s">
        <v>30</v>
      </c>
      <c r="F44" s="2">
        <v>2</v>
      </c>
      <c r="H44" s="2" t="s">
        <v>30</v>
      </c>
      <c r="I44" s="2">
        <v>4</v>
      </c>
    </row>
    <row r="45" spans="2:10" ht="15.75">
      <c r="B45" s="2" t="s">
        <v>42</v>
      </c>
      <c r="C45" s="2">
        <f>0.6*G17</f>
        <v>34.8</v>
      </c>
      <c r="D45" s="2" t="s">
        <v>5</v>
      </c>
      <c r="E45" s="2" t="s">
        <v>42</v>
      </c>
      <c r="F45" s="2">
        <f>0.6*F17</f>
        <v>39</v>
      </c>
      <c r="G45" s="2" t="s">
        <v>5</v>
      </c>
      <c r="H45" s="2" t="s">
        <v>44</v>
      </c>
      <c r="I45" s="2">
        <f>0.6*H17</f>
        <v>42</v>
      </c>
      <c r="J45" s="2" t="s">
        <v>5</v>
      </c>
    </row>
    <row r="46" spans="2:10" ht="15.75">
      <c r="B46" s="2" t="s">
        <v>43</v>
      </c>
      <c r="C46" s="2">
        <f>+C43</f>
        <v>0.375</v>
      </c>
      <c r="D46" s="2" t="s">
        <v>31</v>
      </c>
      <c r="E46" s="2" t="s">
        <v>43</v>
      </c>
      <c r="F46" s="13">
        <f>+F43</f>
        <v>0.75</v>
      </c>
      <c r="G46" s="2" t="s">
        <v>31</v>
      </c>
      <c r="H46" s="2" t="s">
        <v>45</v>
      </c>
      <c r="I46" s="13">
        <f>0.707*I43/16</f>
        <v>0.3093125</v>
      </c>
      <c r="J46" s="2" t="s">
        <v>31</v>
      </c>
    </row>
    <row r="47" spans="2:9" ht="12.75">
      <c r="B47" s="14" t="s">
        <v>37</v>
      </c>
      <c r="C47" s="2">
        <v>2</v>
      </c>
      <c r="E47" s="14" t="s">
        <v>37</v>
      </c>
      <c r="F47" s="2">
        <v>2</v>
      </c>
      <c r="H47" s="14" t="s">
        <v>37</v>
      </c>
      <c r="I47" s="2">
        <v>2</v>
      </c>
    </row>
    <row r="48" spans="2:10" ht="15.75">
      <c r="B48" s="2" t="s">
        <v>38</v>
      </c>
      <c r="C48" s="2">
        <f>+C44*C45*C46/C47</f>
        <v>26.099999999999998</v>
      </c>
      <c r="D48" s="2" t="s">
        <v>17</v>
      </c>
      <c r="E48" s="2" t="s">
        <v>38</v>
      </c>
      <c r="F48" s="12">
        <f>+F44*F45*F46/F47</f>
        <v>29.25</v>
      </c>
      <c r="G48" s="2" t="s">
        <v>17</v>
      </c>
      <c r="H48" s="2" t="s">
        <v>38</v>
      </c>
      <c r="I48" s="15">
        <f>+I44*I45*I46/I47</f>
        <v>25.98225</v>
      </c>
      <c r="J48" s="2" t="s">
        <v>17</v>
      </c>
    </row>
    <row r="49" spans="2:10" ht="12.75">
      <c r="B49" s="2" t="s">
        <v>254</v>
      </c>
      <c r="C49" s="16">
        <f>+C39/C48</f>
        <v>5.938697318007663</v>
      </c>
      <c r="D49" s="2" t="s">
        <v>8</v>
      </c>
      <c r="E49" s="2" t="s">
        <v>254</v>
      </c>
      <c r="F49" s="16">
        <f>+C39/F48</f>
        <v>5.299145299145299</v>
      </c>
      <c r="G49" s="2" t="s">
        <v>8</v>
      </c>
      <c r="H49" s="2" t="s">
        <v>254</v>
      </c>
      <c r="I49" s="16">
        <f>+C39/I48</f>
        <v>5.965611138373313</v>
      </c>
      <c r="J49" s="2" t="s">
        <v>8</v>
      </c>
    </row>
    <row r="51" spans="2:4" ht="12.75">
      <c r="B51" s="17" t="s">
        <v>48</v>
      </c>
      <c r="C51" s="18">
        <f>+C39/MIN(C48,F48,I48)</f>
        <v>5.965611138373313</v>
      </c>
      <c r="D51" s="19" t="s">
        <v>8</v>
      </c>
    </row>
  </sheetData>
  <sheetProtection password="CADF" sheet="1"/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AutoCAD.Drawing.17" shapeId="136211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9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8" ht="12.75">
      <c r="A1" s="2" t="s">
        <v>50</v>
      </c>
      <c r="H1" s="2" t="s">
        <v>253</v>
      </c>
    </row>
    <row r="2" spans="1:8" ht="12.75">
      <c r="A2" s="3" t="s">
        <v>274</v>
      </c>
      <c r="H2" s="2" t="s">
        <v>259</v>
      </c>
    </row>
    <row r="3" ht="12.75">
      <c r="A3" s="3"/>
    </row>
    <row r="4" ht="12.75">
      <c r="A4" s="3"/>
    </row>
    <row r="5" ht="12.75">
      <c r="A5" s="3"/>
    </row>
    <row r="6" ht="12.75">
      <c r="A6" s="3"/>
    </row>
    <row r="7" ht="12.75">
      <c r="A7" s="3"/>
    </row>
    <row r="8" ht="12.75">
      <c r="A8" s="3"/>
    </row>
    <row r="9" ht="12.75">
      <c r="A9" s="3"/>
    </row>
    <row r="10" spans="2:5" ht="12.75">
      <c r="B10" s="2" t="s">
        <v>3</v>
      </c>
      <c r="E10" s="2" t="s">
        <v>4</v>
      </c>
    </row>
    <row r="11" spans="2:7" ht="15.75">
      <c r="B11" s="2" t="s">
        <v>0</v>
      </c>
      <c r="C11" s="26">
        <v>25</v>
      </c>
      <c r="D11" s="2" t="s">
        <v>13</v>
      </c>
      <c r="E11" s="2" t="s">
        <v>221</v>
      </c>
      <c r="F11" s="26">
        <v>50</v>
      </c>
      <c r="G11" s="2" t="s">
        <v>5</v>
      </c>
    </row>
    <row r="12" spans="2:7" ht="15.75">
      <c r="B12" s="2" t="s">
        <v>1</v>
      </c>
      <c r="C12" s="26">
        <v>40</v>
      </c>
      <c r="D12" s="2" t="s">
        <v>13</v>
      </c>
      <c r="E12" s="2" t="s">
        <v>216</v>
      </c>
      <c r="F12" s="26">
        <v>65</v>
      </c>
      <c r="G12" s="2" t="s">
        <v>5</v>
      </c>
    </row>
    <row r="13" spans="5:7" ht="15.75">
      <c r="E13" s="2" t="s">
        <v>215</v>
      </c>
      <c r="F13" s="26">
        <v>70</v>
      </c>
      <c r="G13" s="2" t="s">
        <v>5</v>
      </c>
    </row>
    <row r="15" spans="2:5" ht="12.75">
      <c r="B15" s="2" t="s">
        <v>6</v>
      </c>
      <c r="E15" s="2" t="s">
        <v>9</v>
      </c>
    </row>
    <row r="16" spans="2:7" ht="15.75">
      <c r="B16" s="2" t="s">
        <v>7</v>
      </c>
      <c r="C16" s="26">
        <v>0.375</v>
      </c>
      <c r="D16" s="2" t="s">
        <v>8</v>
      </c>
      <c r="E16" s="2" t="s">
        <v>222</v>
      </c>
      <c r="F16" s="26">
        <v>2.86</v>
      </c>
      <c r="G16" s="2" t="s">
        <v>10</v>
      </c>
    </row>
    <row r="17" spans="5:7" ht="12.75">
      <c r="E17" s="2" t="s">
        <v>22</v>
      </c>
      <c r="F17" s="26">
        <v>4</v>
      </c>
      <c r="G17" s="2" t="s">
        <v>8</v>
      </c>
    </row>
    <row r="18" spans="5:7" ht="12.75">
      <c r="E18" s="2" t="s">
        <v>7</v>
      </c>
      <c r="F18" s="26">
        <v>0.375</v>
      </c>
      <c r="G18" s="2" t="s">
        <v>11</v>
      </c>
    </row>
    <row r="19" spans="5:7" ht="12.75">
      <c r="E19" s="2" t="s">
        <v>21</v>
      </c>
      <c r="F19" s="26">
        <v>1.13</v>
      </c>
      <c r="G19" s="2" t="s">
        <v>8</v>
      </c>
    </row>
    <row r="42" ht="12.75">
      <c r="A42" s="3" t="s">
        <v>223</v>
      </c>
    </row>
    <row r="43" spans="1:4" ht="15.75">
      <c r="A43" s="3"/>
      <c r="B43" s="2" t="s">
        <v>224</v>
      </c>
      <c r="C43" s="2">
        <f>1.2*25+1.6*40</f>
        <v>94</v>
      </c>
      <c r="D43" s="2" t="s">
        <v>234</v>
      </c>
    </row>
    <row r="44" ht="12.75">
      <c r="A44" s="3"/>
    </row>
    <row r="45" spans="1:2" ht="12.75">
      <c r="A45" s="3" t="s">
        <v>235</v>
      </c>
      <c r="B45" s="2" t="s">
        <v>236</v>
      </c>
    </row>
    <row r="46" spans="1:2" ht="12.75">
      <c r="A46" s="3"/>
      <c r="B46" s="2" t="s">
        <v>237</v>
      </c>
    </row>
    <row r="47" ht="12.75">
      <c r="A47" s="3"/>
    </row>
    <row r="48" spans="2:8" ht="15.75">
      <c r="B48" s="2" t="s">
        <v>225</v>
      </c>
      <c r="C48" s="2">
        <f>3/16</f>
        <v>0.1875</v>
      </c>
      <c r="D48" s="2" t="s">
        <v>8</v>
      </c>
      <c r="E48" s="2" t="s">
        <v>227</v>
      </c>
      <c r="G48" s="27">
        <f>+(F12/F13)*(C16/0.707)</f>
        <v>0.4925237421701354</v>
      </c>
      <c r="H48" s="2" t="s">
        <v>8</v>
      </c>
    </row>
    <row r="49" spans="2:4" ht="15.75">
      <c r="B49" s="2" t="s">
        <v>226</v>
      </c>
      <c r="C49" s="2">
        <f>+F18-1/16</f>
        <v>0.3125</v>
      </c>
      <c r="D49" s="2" t="s">
        <v>8</v>
      </c>
    </row>
    <row r="50" spans="2:4" ht="12.75">
      <c r="B50" s="2" t="s">
        <v>19</v>
      </c>
      <c r="C50" s="2">
        <f>MAX(C48:C49)</f>
        <v>0.3125</v>
      </c>
      <c r="D50" s="2" t="s">
        <v>8</v>
      </c>
    </row>
    <row r="52" spans="2:6" ht="12.75">
      <c r="B52" s="2" t="s">
        <v>14</v>
      </c>
      <c r="F52" s="2" t="s">
        <v>16</v>
      </c>
    </row>
    <row r="53" spans="2:7" ht="12.75">
      <c r="B53" s="14" t="s">
        <v>228</v>
      </c>
      <c r="C53" s="2">
        <v>0.75</v>
      </c>
      <c r="F53" s="14" t="s">
        <v>228</v>
      </c>
      <c r="G53" s="2">
        <v>0.75</v>
      </c>
    </row>
    <row r="54" spans="2:8" ht="15.75">
      <c r="B54" s="2" t="s">
        <v>229</v>
      </c>
      <c r="C54" s="13">
        <f>0.707*C49</f>
        <v>0.22093749999999998</v>
      </c>
      <c r="D54" s="2" t="s">
        <v>8</v>
      </c>
      <c r="F54" s="2" t="s">
        <v>232</v>
      </c>
      <c r="G54" s="13">
        <f>+C16</f>
        <v>0.375</v>
      </c>
      <c r="H54" s="2" t="s">
        <v>8</v>
      </c>
    </row>
    <row r="55" spans="2:8" ht="15.75">
      <c r="B55" s="2" t="s">
        <v>230</v>
      </c>
      <c r="C55" s="13">
        <f>0.6*F13*C54</f>
        <v>9.279375</v>
      </c>
      <c r="D55" s="2" t="s">
        <v>17</v>
      </c>
      <c r="F55" s="2" t="s">
        <v>230</v>
      </c>
      <c r="G55" s="13">
        <f>0.6*F12*G54</f>
        <v>14.625</v>
      </c>
      <c r="H55" s="2" t="s">
        <v>17</v>
      </c>
    </row>
    <row r="56" spans="2:8" ht="15.75">
      <c r="B56" s="14" t="s">
        <v>231</v>
      </c>
      <c r="C56" s="13">
        <f>+C53*C55</f>
        <v>6.9595312499999995</v>
      </c>
      <c r="D56" s="2" t="s">
        <v>17</v>
      </c>
      <c r="F56" s="14" t="s">
        <v>231</v>
      </c>
      <c r="G56" s="13">
        <f>+G53*G55</f>
        <v>10.96875</v>
      </c>
      <c r="H56" s="2" t="s">
        <v>17</v>
      </c>
    </row>
    <row r="58" spans="2:6" ht="15.75">
      <c r="B58" s="2" t="s">
        <v>233</v>
      </c>
      <c r="E58" s="16">
        <f>MIN(C56,G56)</f>
        <v>6.9595312499999995</v>
      </c>
      <c r="F58" s="2" t="s">
        <v>238</v>
      </c>
    </row>
    <row r="60" spans="2:5" ht="12.75">
      <c r="B60" s="2" t="s">
        <v>18</v>
      </c>
      <c r="D60" s="16">
        <f>+C43/E58</f>
        <v>13.506656788127794</v>
      </c>
      <c r="E60" s="2" t="s">
        <v>8</v>
      </c>
    </row>
    <row r="62" ht="12.75">
      <c r="B62" s="2" t="s">
        <v>239</v>
      </c>
    </row>
    <row r="64" spans="3:5" ht="12.75">
      <c r="C64" s="5" t="s">
        <v>55</v>
      </c>
      <c r="D64" s="5" t="s">
        <v>240</v>
      </c>
      <c r="E64" s="5" t="s">
        <v>241</v>
      </c>
    </row>
    <row r="65" spans="2:5" ht="14.25">
      <c r="B65" s="28"/>
      <c r="C65" s="29" t="s">
        <v>59</v>
      </c>
      <c r="D65" s="29" t="s">
        <v>59</v>
      </c>
      <c r="E65" s="29" t="s">
        <v>242</v>
      </c>
    </row>
    <row r="66" spans="2:5" ht="12.75">
      <c r="B66" s="30" t="s">
        <v>24</v>
      </c>
      <c r="C66" s="31">
        <f>+F17</f>
        <v>4</v>
      </c>
      <c r="D66" s="7">
        <f>+C66/2</f>
        <v>2</v>
      </c>
      <c r="E66" s="31">
        <f>+C66*D66</f>
        <v>8</v>
      </c>
    </row>
    <row r="67" spans="2:5" ht="12.75">
      <c r="B67" s="32" t="s">
        <v>20</v>
      </c>
      <c r="C67" s="33">
        <f>+(F19*D60-C66*C66/2)/C66</f>
        <v>1.8156305426461015</v>
      </c>
      <c r="D67" s="11">
        <f>+C66</f>
        <v>4</v>
      </c>
      <c r="E67" s="33">
        <f>+C67*D67</f>
        <v>7.262522170584406</v>
      </c>
    </row>
    <row r="68" spans="2:5" ht="12.75">
      <c r="B68" s="4" t="s">
        <v>23</v>
      </c>
      <c r="C68" s="34">
        <f>+D60-C66-C67</f>
        <v>7.691026245481693</v>
      </c>
      <c r="D68" s="10">
        <v>0</v>
      </c>
      <c r="E68" s="34">
        <f>+C68*D68</f>
        <v>0</v>
      </c>
    </row>
    <row r="69" spans="3:5" ht="12.75">
      <c r="C69" s="35">
        <f>SUM(C66:C68)</f>
        <v>13.506656788127794</v>
      </c>
      <c r="D69" s="5">
        <f>+E69/C69</f>
        <v>1.13</v>
      </c>
      <c r="E69" s="35">
        <f>SUM(E66:E68)</f>
        <v>15.262522170584406</v>
      </c>
    </row>
    <row r="71" ht="12.75">
      <c r="B71" s="2" t="s">
        <v>247</v>
      </c>
    </row>
    <row r="76" spans="1:2" ht="12.75">
      <c r="A76" s="3" t="s">
        <v>243</v>
      </c>
      <c r="B76" s="2" t="s">
        <v>244</v>
      </c>
    </row>
    <row r="81" spans="2:8" ht="15.75">
      <c r="B81" s="2" t="s">
        <v>245</v>
      </c>
      <c r="C81" s="5" t="s">
        <v>52</v>
      </c>
      <c r="D81" s="36" t="s">
        <v>231</v>
      </c>
      <c r="E81" s="5" t="s">
        <v>55</v>
      </c>
      <c r="F81" s="5" t="s">
        <v>252</v>
      </c>
      <c r="G81" s="5" t="s">
        <v>240</v>
      </c>
      <c r="H81" s="5" t="s">
        <v>248</v>
      </c>
    </row>
    <row r="82" spans="2:8" ht="12.75">
      <c r="B82" s="28"/>
      <c r="C82" s="29" t="s">
        <v>59</v>
      </c>
      <c r="D82" s="29" t="s">
        <v>246</v>
      </c>
      <c r="E82" s="29" t="s">
        <v>59</v>
      </c>
      <c r="F82" s="29" t="s">
        <v>65</v>
      </c>
      <c r="G82" s="29" t="s">
        <v>59</v>
      </c>
      <c r="H82" s="29" t="s">
        <v>177</v>
      </c>
    </row>
    <row r="83" spans="2:8" ht="12.75">
      <c r="B83" s="30" t="s">
        <v>24</v>
      </c>
      <c r="C83" s="37">
        <f>5/16</f>
        <v>0.3125</v>
      </c>
      <c r="D83" s="31">
        <f>+C56</f>
        <v>6.9595312499999995</v>
      </c>
      <c r="E83" s="31">
        <v>4</v>
      </c>
      <c r="F83" s="38">
        <f>+D83*E83</f>
        <v>27.838124999999998</v>
      </c>
      <c r="G83" s="7">
        <f>+E83/2</f>
        <v>2</v>
      </c>
      <c r="H83" s="38">
        <f>+F83*G83</f>
        <v>55.676249999999996</v>
      </c>
    </row>
    <row r="84" spans="2:8" ht="12.75">
      <c r="B84" s="32" t="s">
        <v>20</v>
      </c>
      <c r="C84" s="39">
        <f>+C83</f>
        <v>0.3125</v>
      </c>
      <c r="D84" s="33">
        <f>+D83</f>
        <v>6.9595312499999995</v>
      </c>
      <c r="E84" s="33">
        <f>+F84/D84</f>
        <v>1.815630542646101</v>
      </c>
      <c r="F84" s="40">
        <f>+(C43*F19-H83)/G84</f>
        <v>12.635937499999997</v>
      </c>
      <c r="G84" s="11">
        <f>+E83</f>
        <v>4</v>
      </c>
      <c r="H84" s="40">
        <f>+F84*G84</f>
        <v>50.54374999999999</v>
      </c>
    </row>
    <row r="85" spans="2:8" ht="12.75">
      <c r="B85" s="4" t="s">
        <v>23</v>
      </c>
      <c r="C85" s="41">
        <v>0.5</v>
      </c>
      <c r="D85" s="34">
        <f>+G56</f>
        <v>10.96875</v>
      </c>
      <c r="E85" s="34">
        <f>+F85/D85</f>
        <v>4.879857549857551</v>
      </c>
      <c r="F85" s="42">
        <f>+C43-F83-F84</f>
        <v>53.52593750000001</v>
      </c>
      <c r="G85" s="10">
        <v>0</v>
      </c>
      <c r="H85" s="42">
        <f>+F85*G85</f>
        <v>0</v>
      </c>
    </row>
    <row r="86" spans="3:8" ht="12.75">
      <c r="C86" s="5"/>
      <c r="D86" s="5"/>
      <c r="E86" s="5"/>
      <c r="F86" s="43">
        <f>SUM(F83:F85)</f>
        <v>94</v>
      </c>
      <c r="G86" s="5">
        <f>+H86/F86</f>
        <v>1.13</v>
      </c>
      <c r="H86" s="43">
        <f>SUM(H83:H85)</f>
        <v>106.21999999999998</v>
      </c>
    </row>
    <row r="87" spans="16:17" ht="12.75">
      <c r="P87" s="13"/>
      <c r="Q87" s="13"/>
    </row>
    <row r="88" spans="2:10" ht="12.75">
      <c r="B88" s="2" t="s">
        <v>250</v>
      </c>
      <c r="J88" s="16"/>
    </row>
    <row r="89" spans="2:10" ht="12.75">
      <c r="B89" s="2" t="s">
        <v>251</v>
      </c>
      <c r="J89" s="13"/>
    </row>
    <row r="90" ht="12.75">
      <c r="Q90" s="16"/>
    </row>
    <row r="91" ht="12.75">
      <c r="A91" s="3" t="s">
        <v>249</v>
      </c>
    </row>
  </sheetData>
  <sheetProtection password="CADF" sheet="1"/>
  <printOptions/>
  <pageMargins left="0.75" right="0.75" top="1" bottom="1" header="0.5" footer="0.5"/>
  <pageSetup orientation="portrait" paperSize="9"/>
  <drawing r:id="rId4"/>
  <legacyDrawing r:id="rId3"/>
  <oleObjects>
    <oleObject progId="AutoCAD.Drawing.17" shapeId="1516550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8" ht="12.75">
      <c r="A1" s="2" t="s">
        <v>50</v>
      </c>
      <c r="H1" s="2" t="s">
        <v>51</v>
      </c>
    </row>
    <row r="2" spans="1:8" ht="12.75">
      <c r="A2" s="3" t="s">
        <v>275</v>
      </c>
      <c r="H2" s="2" t="s">
        <v>259</v>
      </c>
    </row>
    <row r="10" spans="2:4" ht="15.75">
      <c r="B10" s="2" t="s">
        <v>216</v>
      </c>
      <c r="C10" s="26">
        <v>58</v>
      </c>
      <c r="D10" s="2" t="s">
        <v>5</v>
      </c>
    </row>
    <row r="11" spans="2:4" ht="15.75">
      <c r="B11" s="2" t="s">
        <v>215</v>
      </c>
      <c r="C11" s="26">
        <v>60</v>
      </c>
      <c r="D11" s="2" t="s">
        <v>5</v>
      </c>
    </row>
    <row r="12" spans="2:4" ht="12.75">
      <c r="B12" s="2" t="s">
        <v>52</v>
      </c>
      <c r="C12" s="26">
        <f>3/8</f>
        <v>0.375</v>
      </c>
      <c r="D12" s="2" t="s">
        <v>8</v>
      </c>
    </row>
    <row r="13" spans="2:4" ht="12.75">
      <c r="B13" s="2" t="s">
        <v>23</v>
      </c>
      <c r="C13" s="26">
        <v>3</v>
      </c>
      <c r="D13" s="2" t="s">
        <v>8</v>
      </c>
    </row>
    <row r="14" spans="2:4" ht="12.75">
      <c r="B14" s="2" t="s">
        <v>24</v>
      </c>
      <c r="C14" s="51">
        <f>3/0.707</f>
        <v>4.243281471004243</v>
      </c>
      <c r="D14" s="2" t="s">
        <v>8</v>
      </c>
    </row>
    <row r="15" spans="2:4" ht="12.75">
      <c r="B15" s="2" t="s">
        <v>20</v>
      </c>
      <c r="C15" s="51">
        <f>+C14</f>
        <v>4.243281471004243</v>
      </c>
      <c r="D15" s="2" t="s">
        <v>8</v>
      </c>
    </row>
    <row r="16" spans="2:4" ht="12.75">
      <c r="B16" s="2" t="s">
        <v>53</v>
      </c>
      <c r="C16" s="26">
        <v>3</v>
      </c>
      <c r="D16" s="2" t="s">
        <v>8</v>
      </c>
    </row>
    <row r="25" ht="12.75">
      <c r="A25" s="3" t="s">
        <v>12</v>
      </c>
    </row>
    <row r="27" ht="12.75">
      <c r="B27" s="2" t="s">
        <v>68</v>
      </c>
    </row>
    <row r="28" ht="12.75">
      <c r="E28" s="5" t="s">
        <v>63</v>
      </c>
    </row>
    <row r="29" ht="12.75">
      <c r="E29" s="7" t="s">
        <v>65</v>
      </c>
    </row>
    <row r="30" spans="3:8" ht="12.75">
      <c r="C30" s="30" t="s">
        <v>69</v>
      </c>
      <c r="D30" s="30"/>
      <c r="E30" s="44">
        <f>I44</f>
        <v>162.3484440788051</v>
      </c>
      <c r="H30" s="2">
        <f>+E30/E31</f>
        <v>1.1741662441421676</v>
      </c>
    </row>
    <row r="31" spans="3:5" ht="12.75">
      <c r="C31" s="4" t="s">
        <v>70</v>
      </c>
      <c r="D31" s="4"/>
      <c r="E31" s="45">
        <f>C50</f>
        <v>138.267</v>
      </c>
    </row>
    <row r="33" spans="2:6" ht="12.75">
      <c r="B33" s="2" t="s">
        <v>255</v>
      </c>
      <c r="E33" s="52">
        <f>+C54</f>
        <v>0.27426724137931036</v>
      </c>
      <c r="F33" s="2" t="s">
        <v>8</v>
      </c>
    </row>
    <row r="35" ht="12.75">
      <c r="A35" s="2" t="s">
        <v>256</v>
      </c>
    </row>
    <row r="38" spans="2:9" ht="12.75">
      <c r="B38" s="2" t="s">
        <v>54</v>
      </c>
      <c r="C38" s="5" t="s">
        <v>55</v>
      </c>
      <c r="D38" s="5" t="s">
        <v>15</v>
      </c>
      <c r="E38" s="5" t="s">
        <v>62</v>
      </c>
      <c r="F38" s="5" t="s">
        <v>56</v>
      </c>
      <c r="G38" s="5" t="s">
        <v>57</v>
      </c>
      <c r="H38" s="5" t="s">
        <v>58</v>
      </c>
      <c r="I38" s="5" t="s">
        <v>63</v>
      </c>
    </row>
    <row r="39" spans="2:9" ht="12.75">
      <c r="B39" s="28"/>
      <c r="C39" s="29" t="s">
        <v>59</v>
      </c>
      <c r="D39" s="29" t="s">
        <v>59</v>
      </c>
      <c r="E39" s="29" t="s">
        <v>64</v>
      </c>
      <c r="F39" s="29" t="s">
        <v>60</v>
      </c>
      <c r="G39" s="29"/>
      <c r="H39" s="29" t="s">
        <v>61</v>
      </c>
      <c r="I39" s="29" t="s">
        <v>65</v>
      </c>
    </row>
    <row r="40" spans="2:9" ht="12.75">
      <c r="B40" s="30" t="str">
        <f>B13</f>
        <v>L1</v>
      </c>
      <c r="C40" s="38">
        <f>C13</f>
        <v>3</v>
      </c>
      <c r="D40" s="31">
        <f>0.707*C12</f>
        <v>0.265125</v>
      </c>
      <c r="E40" s="31">
        <f>C40*D40</f>
        <v>0.7953749999999999</v>
      </c>
      <c r="F40" s="46">
        <v>0</v>
      </c>
      <c r="G40" s="31">
        <f>0.6*(1+0.5*(SIN(RADIANS(F40)))^1.5)</f>
        <v>0.6</v>
      </c>
      <c r="H40" s="46">
        <f>G40*C$11</f>
        <v>36</v>
      </c>
      <c r="I40" s="46">
        <f>H40*E40</f>
        <v>28.633499999999998</v>
      </c>
    </row>
    <row r="41" spans="2:9" ht="12.75">
      <c r="B41" s="32" t="str">
        <f aca="true" t="shared" si="0" ref="B41:C43">B14</f>
        <v>L2</v>
      </c>
      <c r="C41" s="40">
        <f t="shared" si="0"/>
        <v>4.243281471004243</v>
      </c>
      <c r="D41" s="33">
        <f>+D40</f>
        <v>0.265125</v>
      </c>
      <c r="E41" s="33">
        <f>C41*D41</f>
        <v>1.125</v>
      </c>
      <c r="F41" s="47">
        <v>45</v>
      </c>
      <c r="G41" s="33">
        <f>0.6*(1+0.5*(SIN(RADIANS(F41)))^1.5)</f>
        <v>0.7783810672504081</v>
      </c>
      <c r="H41" s="47">
        <f>G41*C$11</f>
        <v>46.70286403502449</v>
      </c>
      <c r="I41" s="47">
        <f>H41*E41</f>
        <v>52.54072203940255</v>
      </c>
    </row>
    <row r="42" spans="2:9" ht="12.75">
      <c r="B42" s="32" t="str">
        <f t="shared" si="0"/>
        <v>L3</v>
      </c>
      <c r="C42" s="40">
        <f t="shared" si="0"/>
        <v>4.243281471004243</v>
      </c>
      <c r="D42" s="33">
        <f>+D41</f>
        <v>0.265125</v>
      </c>
      <c r="E42" s="33">
        <f>C42*D42</f>
        <v>1.125</v>
      </c>
      <c r="F42" s="47">
        <v>45</v>
      </c>
      <c r="G42" s="33">
        <f>0.6*(1+0.5*(SIN(RADIANS(F42)))^1.5)</f>
        <v>0.7783810672504081</v>
      </c>
      <c r="H42" s="47">
        <f>G42*C$11</f>
        <v>46.70286403502449</v>
      </c>
      <c r="I42" s="47">
        <f>H42*E42</f>
        <v>52.54072203940255</v>
      </c>
    </row>
    <row r="43" spans="2:9" ht="12.75">
      <c r="B43" s="4" t="str">
        <f t="shared" si="0"/>
        <v>L4</v>
      </c>
      <c r="C43" s="42">
        <f t="shared" si="0"/>
        <v>3</v>
      </c>
      <c r="D43" s="34">
        <f>+D42</f>
        <v>0.265125</v>
      </c>
      <c r="E43" s="34">
        <f>C43*D43</f>
        <v>0.7953749999999999</v>
      </c>
      <c r="F43" s="48">
        <v>0</v>
      </c>
      <c r="G43" s="34">
        <f>0.6*(1+0.5*(SIN(RADIANS(F43)))^1.5)</f>
        <v>0.6</v>
      </c>
      <c r="H43" s="48">
        <f>G43*C$11</f>
        <v>36</v>
      </c>
      <c r="I43" s="48">
        <f>H43*E43</f>
        <v>28.633499999999998</v>
      </c>
    </row>
    <row r="44" spans="4:9" ht="12.75">
      <c r="D44" s="49" t="s">
        <v>67</v>
      </c>
      <c r="E44" s="35">
        <f>SUM(E40:E43)</f>
        <v>3.84075</v>
      </c>
      <c r="H44" s="49" t="s">
        <v>66</v>
      </c>
      <c r="I44" s="50">
        <f>SUM(I40:I43)</f>
        <v>162.3484440788051</v>
      </c>
    </row>
    <row r="46" spans="1:7" ht="12.75">
      <c r="A46" s="2" t="s">
        <v>257</v>
      </c>
      <c r="G46" s="15"/>
    </row>
    <row r="48" spans="2:4" ht="15.75">
      <c r="B48" s="2" t="s">
        <v>217</v>
      </c>
      <c r="C48" s="13">
        <f>+E44</f>
        <v>3.84075</v>
      </c>
      <c r="D48" s="2" t="s">
        <v>10</v>
      </c>
    </row>
    <row r="49" spans="2:4" ht="15.75">
      <c r="B49" s="2" t="s">
        <v>218</v>
      </c>
      <c r="C49" s="15">
        <f>H43</f>
        <v>36</v>
      </c>
      <c r="D49" s="2" t="s">
        <v>5</v>
      </c>
    </row>
    <row r="50" spans="2:4" ht="15.75">
      <c r="B50" s="2" t="s">
        <v>219</v>
      </c>
      <c r="C50" s="15">
        <f>C48*C49</f>
        <v>138.267</v>
      </c>
      <c r="D50" s="2" t="s">
        <v>71</v>
      </c>
    </row>
    <row r="52" ht="12.75">
      <c r="A52" s="2" t="s">
        <v>258</v>
      </c>
    </row>
    <row r="54" spans="2:6" ht="15.75">
      <c r="B54" s="2" t="s">
        <v>220</v>
      </c>
      <c r="C54" s="13">
        <f>C11/C10*C12*0.707</f>
        <v>0.27426724137931036</v>
      </c>
      <c r="D54" s="2" t="s">
        <v>72</v>
      </c>
      <c r="E54" s="16">
        <f>16*C54</f>
        <v>4.388275862068966</v>
      </c>
      <c r="F54" s="12" t="s">
        <v>73</v>
      </c>
    </row>
  </sheetData>
  <sheetProtection password="CADF" sheet="1"/>
  <printOptions/>
  <pageMargins left="0.75" right="0.75" top="1" bottom="1" header="0.5" footer="0.5"/>
  <pageSetup horizontalDpi="300" verticalDpi="300" orientation="portrait" r:id="rId4"/>
  <drawing r:id="rId3"/>
  <legacyDrawing r:id="rId2"/>
  <oleObjects>
    <oleObject progId="AutoCAD.Drawing.17" shapeId="2458303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1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7" width="9.140625" style="2" customWidth="1"/>
    <col min="8" max="8" width="9.57421875" style="2" bestFit="1" customWidth="1"/>
    <col min="9" max="16384" width="9.140625" style="2" customWidth="1"/>
  </cols>
  <sheetData>
    <row r="1" spans="1:8" ht="12.75">
      <c r="A1" s="2" t="s">
        <v>50</v>
      </c>
      <c r="H1" s="87" t="s">
        <v>334</v>
      </c>
    </row>
    <row r="2" spans="1:8" ht="12.75">
      <c r="A2" s="3" t="s">
        <v>272</v>
      </c>
      <c r="H2" s="2" t="s">
        <v>259</v>
      </c>
    </row>
    <row r="4" spans="1:2" ht="12.75">
      <c r="A4" s="3" t="s">
        <v>34</v>
      </c>
      <c r="B4" s="2" t="s">
        <v>74</v>
      </c>
    </row>
    <row r="5" ht="12.75"/>
    <row r="6" ht="12.75">
      <c r="B6" s="2" t="s">
        <v>75</v>
      </c>
    </row>
    <row r="7" spans="2:4" ht="12.75">
      <c r="B7" s="2" t="s">
        <v>76</v>
      </c>
      <c r="C7" s="26">
        <v>10</v>
      </c>
      <c r="D7" s="2" t="s">
        <v>71</v>
      </c>
    </row>
    <row r="8" spans="2:4" ht="12.75">
      <c r="B8" s="2" t="s">
        <v>77</v>
      </c>
      <c r="C8" s="26">
        <v>25</v>
      </c>
      <c r="D8" s="2" t="s">
        <v>71</v>
      </c>
    </row>
    <row r="9" ht="12.75"/>
    <row r="10" spans="2:4" ht="12.75">
      <c r="B10" s="14" t="s">
        <v>269</v>
      </c>
      <c r="C10" s="26">
        <v>10</v>
      </c>
      <c r="D10" s="2" t="s">
        <v>78</v>
      </c>
    </row>
    <row r="11" spans="2:4" ht="12.75">
      <c r="B11" s="2" t="s">
        <v>126</v>
      </c>
      <c r="C11" s="26">
        <v>8</v>
      </c>
      <c r="D11" s="2" t="s">
        <v>8</v>
      </c>
    </row>
    <row r="12" ht="12.75"/>
    <row r="13" spans="2:3" ht="12.75">
      <c r="B13" s="26" t="s">
        <v>137</v>
      </c>
      <c r="C13" s="26"/>
    </row>
    <row r="14" spans="2:3" ht="12.75">
      <c r="B14" s="26" t="s">
        <v>138</v>
      </c>
      <c r="C14" s="26"/>
    </row>
    <row r="15" spans="2:4" ht="12.75">
      <c r="B15" s="2" t="s">
        <v>139</v>
      </c>
      <c r="C15" s="26">
        <v>60</v>
      </c>
      <c r="D15" s="2" t="s">
        <v>5</v>
      </c>
    </row>
    <row r="16" ht="12.75"/>
    <row r="17" ht="12.75"/>
    <row r="18" ht="12.75"/>
    <row r="19" ht="12.75">
      <c r="A19" s="3" t="s">
        <v>79</v>
      </c>
    </row>
    <row r="20" spans="1:2" ht="12.75">
      <c r="A20" s="49" t="s">
        <v>80</v>
      </c>
      <c r="B20" s="2" t="s">
        <v>81</v>
      </c>
    </row>
    <row r="21" spans="1:2" ht="12.75">
      <c r="A21" s="49" t="s">
        <v>150</v>
      </c>
      <c r="B21" s="2" t="s">
        <v>149</v>
      </c>
    </row>
    <row r="22" spans="1:2" ht="12.75">
      <c r="A22" s="49" t="s">
        <v>278</v>
      </c>
      <c r="B22" s="2" t="s">
        <v>279</v>
      </c>
    </row>
    <row r="24" ht="12.75">
      <c r="A24" s="3" t="s">
        <v>36</v>
      </c>
    </row>
    <row r="26" spans="1:3" ht="12.75">
      <c r="A26" s="96" t="s">
        <v>276</v>
      </c>
      <c r="B26" s="4"/>
      <c r="C26" s="2" t="s">
        <v>277</v>
      </c>
    </row>
    <row r="28" spans="5:8" ht="12.75">
      <c r="E28" s="94" t="s">
        <v>114</v>
      </c>
      <c r="F28" s="88"/>
      <c r="G28" s="94" t="s">
        <v>148</v>
      </c>
      <c r="H28" s="88"/>
    </row>
    <row r="29" spans="3:8" ht="12.75">
      <c r="C29" s="94" t="s">
        <v>280</v>
      </c>
      <c r="D29" s="30"/>
      <c r="E29" s="97" t="str">
        <f>+C97</f>
        <v>1/2" fillet weld</v>
      </c>
      <c r="F29" s="98"/>
      <c r="G29" s="97" t="str">
        <f>+K97</f>
        <v>1/2" fillet weld</v>
      </c>
      <c r="H29" s="98"/>
    </row>
    <row r="30" spans="3:8" ht="12.75">
      <c r="C30" s="53" t="s">
        <v>281</v>
      </c>
      <c r="D30" s="32"/>
      <c r="E30" s="99" t="s">
        <v>283</v>
      </c>
      <c r="F30" s="100"/>
      <c r="G30" s="99" t="s">
        <v>283</v>
      </c>
      <c r="H30" s="100"/>
    </row>
    <row r="31" spans="3:8" ht="12.75">
      <c r="C31" s="103" t="s">
        <v>282</v>
      </c>
      <c r="D31" s="4"/>
      <c r="E31" s="101" t="str">
        <f>+D184</f>
        <v>5/16" fillet weld</v>
      </c>
      <c r="F31" s="102"/>
      <c r="G31" s="101" t="str">
        <f>+I184</f>
        <v>5/16" fillet weld</v>
      </c>
      <c r="H31" s="102"/>
    </row>
    <row r="34" spans="1:9" ht="12.75">
      <c r="A34" s="32" t="s">
        <v>103</v>
      </c>
      <c r="B34" s="32"/>
      <c r="C34" s="32"/>
      <c r="G34" s="53" t="s">
        <v>104</v>
      </c>
      <c r="H34" s="32"/>
      <c r="I34" s="32"/>
    </row>
    <row r="35" spans="2:9" ht="12.75">
      <c r="B35" s="32"/>
      <c r="C35" s="32"/>
      <c r="G35" s="53"/>
      <c r="H35" s="32"/>
      <c r="I35" s="32"/>
    </row>
    <row r="36" spans="1:12" ht="15.75">
      <c r="A36" s="32" t="s">
        <v>105</v>
      </c>
      <c r="B36" s="32"/>
      <c r="C36" s="32"/>
      <c r="D36" s="2" t="s">
        <v>106</v>
      </c>
      <c r="E36" s="54">
        <f>1.2*C7+1.6*C8</f>
        <v>52</v>
      </c>
      <c r="F36" s="2" t="s">
        <v>71</v>
      </c>
      <c r="G36" s="53" t="s">
        <v>107</v>
      </c>
      <c r="H36" s="32"/>
      <c r="I36" s="32"/>
      <c r="J36" s="2" t="s">
        <v>108</v>
      </c>
      <c r="K36" s="54">
        <f>+C7+C8</f>
        <v>35</v>
      </c>
      <c r="L36" s="2" t="s">
        <v>71</v>
      </c>
    </row>
    <row r="38" spans="4:12" ht="12.75">
      <c r="D38" s="2" t="s">
        <v>110</v>
      </c>
      <c r="E38" s="15">
        <f>-E36*SIN(RADIANS($C$10))</f>
        <v>-9.029705238680377</v>
      </c>
      <c r="F38" s="2" t="s">
        <v>71</v>
      </c>
      <c r="J38" s="2" t="s">
        <v>112</v>
      </c>
      <c r="K38" s="15">
        <f>-K36*SIN(RADIANS($C$10))</f>
        <v>-6.077686218342562</v>
      </c>
      <c r="L38" s="2" t="s">
        <v>71</v>
      </c>
    </row>
    <row r="39" spans="4:12" ht="12.75">
      <c r="D39" s="2" t="s">
        <v>111</v>
      </c>
      <c r="E39" s="15">
        <f>-E36*COS(RADIANS($C$10))</f>
        <v>-51.21000315663482</v>
      </c>
      <c r="F39" s="2" t="s">
        <v>71</v>
      </c>
      <c r="J39" s="2" t="s">
        <v>113</v>
      </c>
      <c r="K39" s="15">
        <f>-K36*COS(RADIANS($C$10))</f>
        <v>-34.468271355427284</v>
      </c>
      <c r="L39" s="2" t="s">
        <v>71</v>
      </c>
    </row>
    <row r="40" spans="4:12" ht="12.75">
      <c r="D40" s="2" t="s">
        <v>127</v>
      </c>
      <c r="E40" s="15">
        <f>-E36*C11</f>
        <v>-416</v>
      </c>
      <c r="F40" s="2" t="s">
        <v>128</v>
      </c>
      <c r="J40" s="2" t="s">
        <v>129</v>
      </c>
      <c r="K40" s="15">
        <f>-K36*C11</f>
        <v>-280</v>
      </c>
      <c r="L40" s="2" t="s">
        <v>128</v>
      </c>
    </row>
    <row r="42" ht="12.75">
      <c r="B42" s="2" t="s">
        <v>90</v>
      </c>
    </row>
    <row r="44" spans="2:7" ht="12.75">
      <c r="B44" s="2" t="s">
        <v>54</v>
      </c>
      <c r="C44" s="5" t="s">
        <v>55</v>
      </c>
      <c r="D44" s="5" t="s">
        <v>85</v>
      </c>
      <c r="E44" s="5" t="s">
        <v>86</v>
      </c>
      <c r="F44" s="5" t="s">
        <v>87</v>
      </c>
      <c r="G44" s="5" t="s">
        <v>88</v>
      </c>
    </row>
    <row r="45" spans="3:7" ht="12.75">
      <c r="C45" s="29" t="s">
        <v>59</v>
      </c>
      <c r="D45" s="29" t="s">
        <v>59</v>
      </c>
      <c r="E45" s="29" t="s">
        <v>59</v>
      </c>
      <c r="F45" s="29" t="s">
        <v>64</v>
      </c>
      <c r="G45" s="29" t="s">
        <v>64</v>
      </c>
    </row>
    <row r="46" spans="2:7" ht="12.75">
      <c r="B46" s="30" t="s">
        <v>82</v>
      </c>
      <c r="C46" s="7">
        <v>4</v>
      </c>
      <c r="D46" s="7">
        <v>2</v>
      </c>
      <c r="E46" s="7">
        <v>11</v>
      </c>
      <c r="F46" s="7">
        <f>+C46*D46</f>
        <v>8</v>
      </c>
      <c r="G46" s="7">
        <f>+C46*E46</f>
        <v>44</v>
      </c>
    </row>
    <row r="47" spans="2:7" ht="12.75">
      <c r="B47" s="32" t="s">
        <v>83</v>
      </c>
      <c r="C47" s="11">
        <v>11</v>
      </c>
      <c r="D47" s="11">
        <v>0</v>
      </c>
      <c r="E47" s="11">
        <f>+E46/2</f>
        <v>5.5</v>
      </c>
      <c r="F47" s="11">
        <f>+C47*D47</f>
        <v>0</v>
      </c>
      <c r="G47" s="11">
        <f>+C47*E47</f>
        <v>60.5</v>
      </c>
    </row>
    <row r="48" spans="2:7" ht="12.75">
      <c r="B48" s="4" t="s">
        <v>84</v>
      </c>
      <c r="C48" s="10">
        <v>4</v>
      </c>
      <c r="D48" s="10">
        <v>2</v>
      </c>
      <c r="E48" s="10">
        <v>0</v>
      </c>
      <c r="F48" s="10">
        <f>+C48*D48</f>
        <v>8</v>
      </c>
      <c r="G48" s="10">
        <f>+C48*E48</f>
        <v>0</v>
      </c>
    </row>
    <row r="49" spans="2:7" ht="12.75">
      <c r="B49" s="2" t="s">
        <v>89</v>
      </c>
      <c r="C49" s="5">
        <f>SUM(C46:C48)</f>
        <v>19</v>
      </c>
      <c r="D49" s="35">
        <f>+F49/C49</f>
        <v>0.8421052631578947</v>
      </c>
      <c r="E49" s="5">
        <f>+G49/C49</f>
        <v>5.5</v>
      </c>
      <c r="F49" s="5">
        <f>SUM(F46:F48)</f>
        <v>16</v>
      </c>
      <c r="G49" s="5">
        <f>SUM(G46:G48)</f>
        <v>104.5</v>
      </c>
    </row>
    <row r="51" ht="12.75">
      <c r="B51" s="2" t="s">
        <v>123</v>
      </c>
    </row>
    <row r="53" spans="2:5" ht="12.75">
      <c r="B53" s="2" t="s">
        <v>120</v>
      </c>
      <c r="C53" s="5" t="s">
        <v>85</v>
      </c>
      <c r="D53" s="5" t="s">
        <v>86</v>
      </c>
      <c r="E53" s="5" t="s">
        <v>124</v>
      </c>
    </row>
    <row r="54" spans="2:5" ht="12.75">
      <c r="B54" s="28"/>
      <c r="C54" s="29" t="s">
        <v>59</v>
      </c>
      <c r="D54" s="29" t="s">
        <v>59</v>
      </c>
      <c r="E54" s="29" t="s">
        <v>59</v>
      </c>
    </row>
    <row r="55" spans="2:5" ht="12.75">
      <c r="B55" s="30" t="s">
        <v>117</v>
      </c>
      <c r="C55" s="31">
        <f>+C46-D49</f>
        <v>3.1578947368421053</v>
      </c>
      <c r="D55" s="38">
        <f>+C47/2</f>
        <v>5.5</v>
      </c>
      <c r="E55" s="38">
        <f>SQRT(C55^2+D55^2)</f>
        <v>6.342105263157895</v>
      </c>
    </row>
    <row r="56" spans="2:5" ht="12.75">
      <c r="B56" s="32" t="s">
        <v>118</v>
      </c>
      <c r="C56" s="33">
        <f>-D49</f>
        <v>-0.8421052631578947</v>
      </c>
      <c r="D56" s="40">
        <f>+D55</f>
        <v>5.5</v>
      </c>
      <c r="E56" s="40">
        <f>SQRT(C56^2+D56^2)</f>
        <v>5.564093931112075</v>
      </c>
    </row>
    <row r="57" spans="2:5" ht="12.75">
      <c r="B57" s="32" t="s">
        <v>119</v>
      </c>
      <c r="C57" s="33">
        <f>+C56</f>
        <v>-0.8421052631578947</v>
      </c>
      <c r="D57" s="40">
        <f>-D56</f>
        <v>-5.5</v>
      </c>
      <c r="E57" s="40">
        <f>SQRT(C57^2+D57^2)</f>
        <v>5.564093931112075</v>
      </c>
    </row>
    <row r="58" spans="2:5" ht="12.75">
      <c r="B58" s="4" t="s">
        <v>0</v>
      </c>
      <c r="C58" s="34">
        <f>+C55</f>
        <v>3.1578947368421053</v>
      </c>
      <c r="D58" s="42">
        <f>-D55</f>
        <v>-5.5</v>
      </c>
      <c r="E58" s="42">
        <f>SQRT(C58^2+D58^2)</f>
        <v>6.342105263157895</v>
      </c>
    </row>
    <row r="59" spans="2:6" ht="12.75">
      <c r="B59" s="55" t="s">
        <v>29</v>
      </c>
      <c r="C59" s="33">
        <f>+C11/COS(RADIANS(C10))</f>
        <v>8.123412895085961</v>
      </c>
      <c r="D59" s="40">
        <v>0</v>
      </c>
      <c r="E59" s="40"/>
      <c r="F59" s="2" t="s">
        <v>174</v>
      </c>
    </row>
    <row r="61" ht="12.75">
      <c r="A61" s="3" t="s">
        <v>151</v>
      </c>
    </row>
    <row r="62" spans="2:4" ht="12.75">
      <c r="B62" s="56" t="s">
        <v>211</v>
      </c>
      <c r="C62" s="83">
        <v>8</v>
      </c>
      <c r="D62" s="57" t="s">
        <v>73</v>
      </c>
    </row>
    <row r="63" spans="2:4" ht="12.75">
      <c r="B63" s="2" t="s">
        <v>52</v>
      </c>
      <c r="C63" s="2">
        <f>+C62/16</f>
        <v>0.5</v>
      </c>
      <c r="D63" s="2" t="s">
        <v>8</v>
      </c>
    </row>
    <row r="64" spans="2:4" ht="12.75">
      <c r="B64" s="2" t="s">
        <v>15</v>
      </c>
      <c r="C64" s="13">
        <f>+C62*0.707/16</f>
        <v>0.3535</v>
      </c>
      <c r="D64" s="2" t="s">
        <v>8</v>
      </c>
    </row>
    <row r="66" ht="12.75">
      <c r="B66" s="2" t="s">
        <v>91</v>
      </c>
    </row>
    <row r="67" ht="12.75">
      <c r="B67" s="2" t="s">
        <v>147</v>
      </c>
    </row>
    <row r="69" spans="2:14" ht="12.75">
      <c r="B69" s="2" t="s">
        <v>54</v>
      </c>
      <c r="C69" s="5" t="s">
        <v>94</v>
      </c>
      <c r="D69" s="5" t="s">
        <v>95</v>
      </c>
      <c r="E69" s="5" t="s">
        <v>92</v>
      </c>
      <c r="F69" s="5" t="s">
        <v>85</v>
      </c>
      <c r="G69" s="5" t="s">
        <v>86</v>
      </c>
      <c r="H69" s="5" t="s">
        <v>93</v>
      </c>
      <c r="I69" s="5" t="s">
        <v>96</v>
      </c>
      <c r="J69" s="5" t="s">
        <v>97</v>
      </c>
      <c r="K69" s="5" t="s">
        <v>98</v>
      </c>
      <c r="L69" s="5" t="s">
        <v>99</v>
      </c>
      <c r="M69" s="5" t="s">
        <v>100</v>
      </c>
      <c r="N69" s="5" t="s">
        <v>101</v>
      </c>
    </row>
    <row r="70" spans="3:14" ht="12.75">
      <c r="C70" s="29" t="s">
        <v>59</v>
      </c>
      <c r="D70" s="29" t="s">
        <v>59</v>
      </c>
      <c r="E70" s="7" t="s">
        <v>64</v>
      </c>
      <c r="F70" s="7" t="s">
        <v>59</v>
      </c>
      <c r="G70" s="7" t="s">
        <v>59</v>
      </c>
      <c r="H70" s="7" t="s">
        <v>102</v>
      </c>
      <c r="I70" s="7" t="s">
        <v>102</v>
      </c>
      <c r="J70" s="7" t="s">
        <v>102</v>
      </c>
      <c r="K70" s="7" t="s">
        <v>102</v>
      </c>
      <c r="L70" s="7" t="s">
        <v>102</v>
      </c>
      <c r="M70" s="7" t="s">
        <v>102</v>
      </c>
      <c r="N70" s="7" t="s">
        <v>102</v>
      </c>
    </row>
    <row r="71" spans="2:14" ht="12.75">
      <c r="B71" s="30" t="s">
        <v>82</v>
      </c>
      <c r="C71" s="7">
        <f>+C46</f>
        <v>4</v>
      </c>
      <c r="D71" s="31">
        <f>+C64</f>
        <v>0.3535</v>
      </c>
      <c r="E71" s="7">
        <f>+C71*D71</f>
        <v>1.414</v>
      </c>
      <c r="F71" s="7">
        <f aca="true" t="shared" si="0" ref="F71:G73">+D46-D$49</f>
        <v>1.1578947368421053</v>
      </c>
      <c r="G71" s="7">
        <f t="shared" si="0"/>
        <v>5.5</v>
      </c>
      <c r="H71" s="38">
        <f>+C71*(D71^3)/12</f>
        <v>0.014724718458333329</v>
      </c>
      <c r="I71" s="7">
        <f>+E71*G71^2</f>
        <v>42.7735</v>
      </c>
      <c r="J71" s="46">
        <f>+H71+I71</f>
        <v>42.78822471845833</v>
      </c>
      <c r="K71" s="38">
        <f>+D71*(C71^3)/12</f>
        <v>1.8853333333333333</v>
      </c>
      <c r="L71" s="38">
        <f>+E71*F71^2</f>
        <v>1.8957783933518007</v>
      </c>
      <c r="M71" s="38">
        <f>+K71+L71</f>
        <v>3.781111726685134</v>
      </c>
      <c r="N71" s="38">
        <f>+J71+M71</f>
        <v>46.56933644514346</v>
      </c>
    </row>
    <row r="72" spans="2:14" ht="12.75">
      <c r="B72" s="32" t="s">
        <v>83</v>
      </c>
      <c r="C72" s="33">
        <f>+C64</f>
        <v>0.3535</v>
      </c>
      <c r="D72" s="11">
        <f>+C47</f>
        <v>11</v>
      </c>
      <c r="E72" s="11">
        <f>+C72*D72</f>
        <v>3.8884999999999996</v>
      </c>
      <c r="F72" s="11">
        <f t="shared" si="0"/>
        <v>-0.8421052631578947</v>
      </c>
      <c r="G72" s="11">
        <f t="shared" si="0"/>
        <v>0</v>
      </c>
      <c r="H72" s="40">
        <f>+C72*(D72^3)/12</f>
        <v>39.209041666666664</v>
      </c>
      <c r="I72" s="11">
        <f>+E72*G72^2</f>
        <v>0</v>
      </c>
      <c r="J72" s="47">
        <f>+H72+I72</f>
        <v>39.209041666666664</v>
      </c>
      <c r="K72" s="40">
        <f>+D72*(C72^3)/12</f>
        <v>0.040492975760416654</v>
      </c>
      <c r="L72" s="40">
        <f>+E72*F72^2</f>
        <v>2.7574958448753457</v>
      </c>
      <c r="M72" s="40">
        <f>+K72+L72</f>
        <v>2.797988820635762</v>
      </c>
      <c r="N72" s="40">
        <f>+J72+M72</f>
        <v>42.00703048730243</v>
      </c>
    </row>
    <row r="73" spans="2:14" ht="12.75">
      <c r="B73" s="4" t="s">
        <v>84</v>
      </c>
      <c r="C73" s="10">
        <f>+C48</f>
        <v>4</v>
      </c>
      <c r="D73" s="34">
        <f>+C64</f>
        <v>0.3535</v>
      </c>
      <c r="E73" s="10">
        <f>+C73*D73</f>
        <v>1.414</v>
      </c>
      <c r="F73" s="10">
        <f t="shared" si="0"/>
        <v>1.1578947368421053</v>
      </c>
      <c r="G73" s="10">
        <f t="shared" si="0"/>
        <v>-5.5</v>
      </c>
      <c r="H73" s="42">
        <f>+C73*(D73^3)/12</f>
        <v>0.014724718458333329</v>
      </c>
      <c r="I73" s="10">
        <f>+E73*G73^2</f>
        <v>42.7735</v>
      </c>
      <c r="J73" s="48">
        <f>+H73+I73</f>
        <v>42.78822471845833</v>
      </c>
      <c r="K73" s="42">
        <f>+D73*(C73^3)/12</f>
        <v>1.8853333333333333</v>
      </c>
      <c r="L73" s="42">
        <f>+E73*F73^2</f>
        <v>1.8957783933518007</v>
      </c>
      <c r="M73" s="42">
        <f>+K73+L73</f>
        <v>3.781111726685134</v>
      </c>
      <c r="N73" s="42">
        <f>+J73+M73</f>
        <v>46.56933644514346</v>
      </c>
    </row>
    <row r="74" spans="2:14" ht="12.75">
      <c r="B74" s="2" t="s">
        <v>89</v>
      </c>
      <c r="E74" s="43">
        <f>SUM(E71:E73)</f>
        <v>6.716499999999999</v>
      </c>
      <c r="F74" s="58"/>
      <c r="G74" s="5"/>
      <c r="H74" s="43"/>
      <c r="I74" s="5"/>
      <c r="J74" s="50">
        <f>SUM(J71:J73)</f>
        <v>124.78549110358333</v>
      </c>
      <c r="M74" s="43">
        <f>SUM(M71:M73)</f>
        <v>10.360212274006031</v>
      </c>
      <c r="N74" s="43">
        <f>SUM(N71:N73)</f>
        <v>135.14570337758937</v>
      </c>
    </row>
    <row r="75" spans="3:5" ht="12.75">
      <c r="C75" s="2" t="s">
        <v>131</v>
      </c>
      <c r="D75" s="16">
        <f>+E74</f>
        <v>6.716499999999999</v>
      </c>
      <c r="E75" s="2" t="s">
        <v>10</v>
      </c>
    </row>
    <row r="76" spans="3:5" ht="12.75">
      <c r="C76" s="2" t="s">
        <v>132</v>
      </c>
      <c r="D76" s="16">
        <f>+N74</f>
        <v>135.14570337758937</v>
      </c>
      <c r="E76" s="2" t="s">
        <v>10</v>
      </c>
    </row>
    <row r="78" ht="12.75">
      <c r="B78" s="2" t="s">
        <v>109</v>
      </c>
    </row>
    <row r="80" spans="2:10" ht="12.75">
      <c r="B80" s="3" t="s">
        <v>114</v>
      </c>
      <c r="J80" s="3" t="s">
        <v>148</v>
      </c>
    </row>
    <row r="81" spans="3:13" ht="12.75">
      <c r="C81" s="2" t="s">
        <v>121</v>
      </c>
      <c r="E81" s="2" t="s">
        <v>122</v>
      </c>
      <c r="H81" s="5" t="s">
        <v>130</v>
      </c>
      <c r="K81" s="2" t="s">
        <v>121</v>
      </c>
      <c r="M81" s="2" t="s">
        <v>122</v>
      </c>
    </row>
    <row r="82" spans="2:16" ht="12.75">
      <c r="B82" s="5" t="s">
        <v>120</v>
      </c>
      <c r="C82" s="5" t="s">
        <v>115</v>
      </c>
      <c r="D82" s="5" t="s">
        <v>116</v>
      </c>
      <c r="E82" s="2" t="s">
        <v>125</v>
      </c>
      <c r="F82" s="5" t="s">
        <v>115</v>
      </c>
      <c r="G82" s="5" t="s">
        <v>116</v>
      </c>
      <c r="H82" s="5" t="s">
        <v>136</v>
      </c>
      <c r="J82" s="5" t="s">
        <v>120</v>
      </c>
      <c r="K82" s="5" t="s">
        <v>115</v>
      </c>
      <c r="L82" s="5" t="s">
        <v>116</v>
      </c>
      <c r="M82" s="2" t="s">
        <v>125</v>
      </c>
      <c r="N82" s="5" t="s">
        <v>115</v>
      </c>
      <c r="O82" s="5" t="s">
        <v>116</v>
      </c>
      <c r="P82" s="5" t="s">
        <v>130</v>
      </c>
    </row>
    <row r="83" spans="2:16" ht="12.75">
      <c r="B83" s="29"/>
      <c r="C83" s="29" t="s">
        <v>61</v>
      </c>
      <c r="D83" s="29" t="s">
        <v>61</v>
      </c>
      <c r="E83" s="29" t="s">
        <v>61</v>
      </c>
      <c r="F83" s="29" t="s">
        <v>61</v>
      </c>
      <c r="G83" s="29" t="s">
        <v>61</v>
      </c>
      <c r="H83" s="29" t="s">
        <v>61</v>
      </c>
      <c r="J83" s="29"/>
      <c r="K83" s="7" t="s">
        <v>133</v>
      </c>
      <c r="L83" s="7" t="s">
        <v>133</v>
      </c>
      <c r="M83" s="7" t="s">
        <v>133</v>
      </c>
      <c r="N83" s="7" t="s">
        <v>133</v>
      </c>
      <c r="O83" s="7" t="s">
        <v>133</v>
      </c>
      <c r="P83" s="7" t="s">
        <v>133</v>
      </c>
    </row>
    <row r="84" spans="2:16" ht="12.75">
      <c r="B84" s="7" t="s">
        <v>117</v>
      </c>
      <c r="C84" s="38">
        <f>-E38/E74</f>
        <v>1.3444063483481543</v>
      </c>
      <c r="D84" s="46">
        <f>-E39/E74</f>
        <v>7.6245072815655215</v>
      </c>
      <c r="E84" s="46">
        <f>-E$40*E55/N$74</f>
        <v>19.522010123417544</v>
      </c>
      <c r="F84" s="38">
        <f>-E84*D55/E55</f>
        <v>-16.929875999146336</v>
      </c>
      <c r="G84" s="38">
        <f>+E84*C55/E55</f>
        <v>9.720502966017035</v>
      </c>
      <c r="H84" s="46">
        <f>SQRT((C84+F84)^2+(D84+G84)^2)</f>
        <v>23.318581533290036</v>
      </c>
      <c r="J84" s="7" t="s">
        <v>117</v>
      </c>
      <c r="K84" s="38">
        <f>-K38/E$74</f>
        <v>0.9048888883112577</v>
      </c>
      <c r="L84" s="46">
        <f>-K39/E$74</f>
        <v>5.131879901053717</v>
      </c>
      <c r="M84" s="46">
        <f>-K$40*E55/N$74</f>
        <v>13.139814506146422</v>
      </c>
      <c r="N84" s="38">
        <f>-M84*D55/E55</f>
        <v>-11.395108845579262</v>
      </c>
      <c r="O84" s="38">
        <f>+M84*C55/E55</f>
        <v>6.542646227126849</v>
      </c>
      <c r="P84" s="46">
        <f>SQRT((K84+N84)^2+(L84+O84)^2)</f>
        <v>15.695199108945216</v>
      </c>
    </row>
    <row r="85" spans="2:16" ht="12.75">
      <c r="B85" s="11" t="s">
        <v>118</v>
      </c>
      <c r="C85" s="40">
        <f aca="true" t="shared" si="1" ref="C85:D87">+C84</f>
        <v>1.3444063483481543</v>
      </c>
      <c r="D85" s="40">
        <f t="shared" si="1"/>
        <v>7.6245072815655215</v>
      </c>
      <c r="E85" s="47">
        <f>-E$40*E56/N$74</f>
        <v>17.127167327514563</v>
      </c>
      <c r="F85" s="40">
        <f>-E85*D56/E56</f>
        <v>-16.929875999146333</v>
      </c>
      <c r="G85" s="40">
        <f>+E85*C56/E56</f>
        <v>-2.592134124271209</v>
      </c>
      <c r="H85" s="47">
        <f>SQRT((C85+F85)^2+(D85+G85)^2)</f>
        <v>16.377778965116345</v>
      </c>
      <c r="J85" s="11" t="s">
        <v>118</v>
      </c>
      <c r="K85" s="40">
        <f aca="true" t="shared" si="2" ref="K85:L87">+K84</f>
        <v>0.9048888883112577</v>
      </c>
      <c r="L85" s="47">
        <f t="shared" si="2"/>
        <v>5.131879901053717</v>
      </c>
      <c r="M85" s="47">
        <f>-K$40*E56/N$74</f>
        <v>11.52790108582711</v>
      </c>
      <c r="N85" s="40">
        <f>-M85*D56/E56</f>
        <v>-11.395108845579264</v>
      </c>
      <c r="O85" s="40">
        <f>+M85*C56/E56</f>
        <v>-1.7447056605671598</v>
      </c>
      <c r="P85" s="47">
        <f>SQRT((K85+N85)^2+(L85+O85)^2)</f>
        <v>11.023505072674464</v>
      </c>
    </row>
    <row r="86" spans="2:16" ht="12.75">
      <c r="B86" s="11" t="s">
        <v>119</v>
      </c>
      <c r="C86" s="40">
        <f t="shared" si="1"/>
        <v>1.3444063483481543</v>
      </c>
      <c r="D86" s="40">
        <f t="shared" si="1"/>
        <v>7.6245072815655215</v>
      </c>
      <c r="E86" s="47">
        <f>-E$40*E57/N$74</f>
        <v>17.127167327514563</v>
      </c>
      <c r="F86" s="40">
        <f>-E86*D57/E57</f>
        <v>16.929875999146333</v>
      </c>
      <c r="G86" s="40">
        <f>+E86*C57/E57</f>
        <v>-2.592134124271209</v>
      </c>
      <c r="H86" s="47">
        <f>SQRT((C86+F86)^2+(D86+G86)^2)</f>
        <v>18.954529139765118</v>
      </c>
      <c r="J86" s="11" t="s">
        <v>119</v>
      </c>
      <c r="K86" s="40">
        <f t="shared" si="2"/>
        <v>0.9048888883112577</v>
      </c>
      <c r="L86" s="47">
        <f t="shared" si="2"/>
        <v>5.131879901053717</v>
      </c>
      <c r="M86" s="47">
        <f>-K$40*E57/N$74</f>
        <v>11.52790108582711</v>
      </c>
      <c r="N86" s="40">
        <f>-M86*D57/E57</f>
        <v>11.395108845579264</v>
      </c>
      <c r="O86" s="40">
        <f>+M86*C57/E57</f>
        <v>-1.7447056605671598</v>
      </c>
      <c r="P86" s="47">
        <f>SQRT((K86+N86)^2+(L86+O86)^2)</f>
        <v>12.757856151764983</v>
      </c>
    </row>
    <row r="87" spans="2:16" ht="12.75">
      <c r="B87" s="10" t="s">
        <v>0</v>
      </c>
      <c r="C87" s="42">
        <f t="shared" si="1"/>
        <v>1.3444063483481543</v>
      </c>
      <c r="D87" s="42">
        <f t="shared" si="1"/>
        <v>7.6245072815655215</v>
      </c>
      <c r="E87" s="48">
        <f>-E$40*E58/N$74</f>
        <v>19.522010123417544</v>
      </c>
      <c r="F87" s="42">
        <f>-E87*D58/E58</f>
        <v>16.929875999146336</v>
      </c>
      <c r="G87" s="42">
        <f>+E87*C58/E58</f>
        <v>9.720502966017035</v>
      </c>
      <c r="H87" s="48">
        <f>SQRT((C87+F87)^2+(D87+G87)^2)</f>
        <v>25.19521335104533</v>
      </c>
      <c r="J87" s="10" t="s">
        <v>0</v>
      </c>
      <c r="K87" s="42">
        <f t="shared" si="2"/>
        <v>0.9048888883112577</v>
      </c>
      <c r="L87" s="48">
        <f t="shared" si="2"/>
        <v>5.131879901053717</v>
      </c>
      <c r="M87" s="48">
        <f>-K$40*E58/N$74</f>
        <v>13.139814506146422</v>
      </c>
      <c r="N87" s="42">
        <f>-M87*D58/E58</f>
        <v>11.395108845579262</v>
      </c>
      <c r="O87" s="42">
        <f>+M87*C58/E58</f>
        <v>6.542646227126849</v>
      </c>
      <c r="P87" s="48">
        <f>SQRT((K87+N87)^2+(L87+O87)^2)</f>
        <v>16.958316678588197</v>
      </c>
    </row>
    <row r="88" spans="7:16" ht="12.75">
      <c r="G88" s="2" t="s">
        <v>134</v>
      </c>
      <c r="H88" s="50">
        <f>MAX(H84:H87)</f>
        <v>25.19521335104533</v>
      </c>
      <c r="O88" s="2" t="s">
        <v>134</v>
      </c>
      <c r="P88" s="50">
        <f>MAX(P84:P87)</f>
        <v>16.958316678588197</v>
      </c>
    </row>
    <row r="90" spans="2:11" ht="12.75">
      <c r="B90" s="2" t="s">
        <v>140</v>
      </c>
      <c r="C90" s="2">
        <v>0.75</v>
      </c>
      <c r="J90" s="2" t="s">
        <v>144</v>
      </c>
      <c r="K90" s="2">
        <v>2</v>
      </c>
    </row>
    <row r="91" spans="2:10" ht="15.75">
      <c r="B91" s="2" t="s">
        <v>135</v>
      </c>
      <c r="J91" s="2" t="s">
        <v>145</v>
      </c>
    </row>
    <row r="92" spans="2:10" ht="15.75">
      <c r="B92" s="2" t="s">
        <v>141</v>
      </c>
      <c r="J92" s="2" t="s">
        <v>146</v>
      </c>
    </row>
    <row r="93" spans="2:13" ht="12.75">
      <c r="B93" s="15">
        <f>+H88</f>
        <v>25.19521335104533</v>
      </c>
      <c r="C93" s="2" t="s">
        <v>212</v>
      </c>
      <c r="D93" s="2">
        <f>+C90*0.6*C15</f>
        <v>26.999999999999996</v>
      </c>
      <c r="E93" s="2" t="s">
        <v>5</v>
      </c>
      <c r="J93" s="15">
        <f>+P88</f>
        <v>16.958316678588197</v>
      </c>
      <c r="K93" s="2" t="s">
        <v>212</v>
      </c>
      <c r="L93" s="2">
        <f>0.6*C15/K90</f>
        <v>18</v>
      </c>
      <c r="M93" s="2" t="s">
        <v>5</v>
      </c>
    </row>
    <row r="95" spans="2:13" ht="15.75">
      <c r="B95" s="2" t="s">
        <v>213</v>
      </c>
      <c r="D95" s="59">
        <f>+B93/D93</f>
        <v>0.933156050038716</v>
      </c>
      <c r="E95" s="2" t="str">
        <f>IF(D95&lt;=1,"Good","No Good")</f>
        <v>Good</v>
      </c>
      <c r="J95" s="2" t="s">
        <v>214</v>
      </c>
      <c r="L95" s="59">
        <f>+J93/L93</f>
        <v>0.9421287043660109</v>
      </c>
      <c r="M95" s="2" t="str">
        <f>IF(L95&lt;=1,"Good","No Good")</f>
        <v>Good</v>
      </c>
    </row>
    <row r="96" spans="3:11" ht="12.75">
      <c r="C96" s="13"/>
      <c r="K96" s="13"/>
    </row>
    <row r="97" spans="2:12" ht="12.75">
      <c r="B97" s="56" t="s">
        <v>142</v>
      </c>
      <c r="C97" s="83" t="s">
        <v>143</v>
      </c>
      <c r="D97" s="60"/>
      <c r="J97" s="56" t="s">
        <v>142</v>
      </c>
      <c r="K97" s="83" t="s">
        <v>143</v>
      </c>
      <c r="L97" s="60"/>
    </row>
    <row r="99" ht="12.75">
      <c r="A99" s="3" t="s">
        <v>152</v>
      </c>
    </row>
    <row r="101" ht="12.75">
      <c r="B101" s="2" t="s">
        <v>153</v>
      </c>
    </row>
    <row r="103" spans="2:4" ht="12.75">
      <c r="B103" s="56" t="s">
        <v>52</v>
      </c>
      <c r="C103" s="83">
        <v>4</v>
      </c>
      <c r="D103" s="57" t="s">
        <v>73</v>
      </c>
    </row>
    <row r="104" spans="2:12" ht="12.75">
      <c r="B104" s="2" t="s">
        <v>52</v>
      </c>
      <c r="C104" s="2">
        <f>+C103/16</f>
        <v>0.25</v>
      </c>
      <c r="D104" s="2" t="s">
        <v>8</v>
      </c>
      <c r="J104" s="55"/>
      <c r="K104" s="61"/>
      <c r="L104" s="61"/>
    </row>
    <row r="105" spans="2:4" ht="12.75">
      <c r="B105" s="2" t="s">
        <v>15</v>
      </c>
      <c r="C105" s="13">
        <f>+C103*0.707/16</f>
        <v>0.17675</v>
      </c>
      <c r="D105" s="2" t="s">
        <v>8</v>
      </c>
    </row>
    <row r="106" ht="12.75">
      <c r="J106" s="61"/>
    </row>
    <row r="107" spans="3:11" ht="12.75">
      <c r="C107" s="2" t="s">
        <v>155</v>
      </c>
      <c r="H107" s="94" t="s">
        <v>171</v>
      </c>
      <c r="I107" s="30"/>
      <c r="J107" s="30"/>
      <c r="K107" s="88"/>
    </row>
    <row r="108" spans="3:11" ht="12.75">
      <c r="C108" s="5" t="s">
        <v>85</v>
      </c>
      <c r="D108" s="5" t="s">
        <v>86</v>
      </c>
      <c r="H108" s="89" t="s">
        <v>263</v>
      </c>
      <c r="I108" s="69">
        <f>ATAN(C10*PI()/180)</f>
        <v>0.1727924348551592</v>
      </c>
      <c r="J108" s="32"/>
      <c r="K108" s="90"/>
    </row>
    <row r="109" spans="3:11" ht="15.75">
      <c r="C109" s="29" t="s">
        <v>59</v>
      </c>
      <c r="D109" s="29" t="s">
        <v>59</v>
      </c>
      <c r="H109" s="89" t="s">
        <v>264</v>
      </c>
      <c r="I109" s="65">
        <f>((D112-D110)+(C112-C110)/I108)/(I108+1/I108)</f>
        <v>9.598320039734983</v>
      </c>
      <c r="J109" s="91" t="s">
        <v>8</v>
      </c>
      <c r="K109" s="90"/>
    </row>
    <row r="110" spans="2:11" ht="15.75">
      <c r="B110" s="5" t="s">
        <v>154</v>
      </c>
      <c r="C110" s="132">
        <v>-1.87</v>
      </c>
      <c r="D110" s="132">
        <v>0.628</v>
      </c>
      <c r="E110" s="87" t="s">
        <v>270</v>
      </c>
      <c r="H110" s="89" t="s">
        <v>265</v>
      </c>
      <c r="I110" s="65">
        <f>+I108*I109</f>
        <v>1.658517090184876</v>
      </c>
      <c r="J110" s="91" t="s">
        <v>8</v>
      </c>
      <c r="K110" s="90"/>
    </row>
    <row r="111" spans="2:15" ht="12.75">
      <c r="B111" s="5" t="s">
        <v>172</v>
      </c>
      <c r="C111" s="43">
        <v>0</v>
      </c>
      <c r="D111" s="43">
        <v>0</v>
      </c>
      <c r="E111" s="2" t="str">
        <f>IF(ABS(H144)&gt;1,"Find new IC","Good IC")</f>
        <v>Good IC</v>
      </c>
      <c r="H111" s="89" t="s">
        <v>266</v>
      </c>
      <c r="I111" s="32"/>
      <c r="J111" s="32"/>
      <c r="K111" s="90"/>
      <c r="O111" s="5"/>
    </row>
    <row r="112" spans="2:15" ht="12.75">
      <c r="B112" s="5" t="s">
        <v>75</v>
      </c>
      <c r="C112" s="43">
        <f>+C11/COS(RADIANS(C10))</f>
        <v>8.123412895085961</v>
      </c>
      <c r="D112" s="43">
        <v>0</v>
      </c>
      <c r="H112" s="89" t="s">
        <v>271</v>
      </c>
      <c r="I112" s="32"/>
      <c r="J112" s="32"/>
      <c r="K112" s="90"/>
      <c r="O112" s="5"/>
    </row>
    <row r="113" spans="2:15" ht="12.75">
      <c r="B113" s="5"/>
      <c r="C113" s="43"/>
      <c r="D113" s="43"/>
      <c r="H113" s="89" t="s">
        <v>267</v>
      </c>
      <c r="I113" s="32"/>
      <c r="J113" s="32"/>
      <c r="K113" s="90"/>
      <c r="O113" s="5"/>
    </row>
    <row r="114" spans="2:15" ht="15.75">
      <c r="B114" s="2" t="s">
        <v>173</v>
      </c>
      <c r="C114" s="16">
        <f>SQRT(I109^2+I110^2)</f>
        <v>9.740555760510459</v>
      </c>
      <c r="D114" s="2" t="s">
        <v>175</v>
      </c>
      <c r="H114" s="92" t="s">
        <v>268</v>
      </c>
      <c r="I114" s="4"/>
      <c r="J114" s="4"/>
      <c r="K114" s="93"/>
      <c r="O114" s="5"/>
    </row>
    <row r="116" spans="9:14" ht="12.75">
      <c r="I116" s="5" t="s">
        <v>159</v>
      </c>
      <c r="K116" s="5" t="s">
        <v>162</v>
      </c>
      <c r="N116" s="5" t="s">
        <v>162</v>
      </c>
    </row>
    <row r="117" spans="3:14" ht="12.75">
      <c r="C117" s="5" t="s">
        <v>157</v>
      </c>
      <c r="D117" s="2" t="s">
        <v>155</v>
      </c>
      <c r="F117" s="2" t="s">
        <v>156</v>
      </c>
      <c r="I117" s="5" t="s">
        <v>157</v>
      </c>
      <c r="K117" s="87" t="s">
        <v>261</v>
      </c>
      <c r="M117" s="5" t="s">
        <v>164</v>
      </c>
      <c r="N117" s="87" t="s">
        <v>163</v>
      </c>
    </row>
    <row r="118" spans="1:21" ht="12.75">
      <c r="A118" s="5" t="s">
        <v>54</v>
      </c>
      <c r="B118" s="5" t="s">
        <v>55</v>
      </c>
      <c r="C118" s="5" t="s">
        <v>158</v>
      </c>
      <c r="D118" s="5" t="s">
        <v>85</v>
      </c>
      <c r="E118" s="5" t="s">
        <v>86</v>
      </c>
      <c r="F118" s="5" t="s">
        <v>85</v>
      </c>
      <c r="G118" s="5" t="s">
        <v>86</v>
      </c>
      <c r="H118" s="5" t="s">
        <v>124</v>
      </c>
      <c r="I118" s="5" t="s">
        <v>158</v>
      </c>
      <c r="J118" s="5" t="s">
        <v>56</v>
      </c>
      <c r="K118" s="36" t="s">
        <v>260</v>
      </c>
      <c r="L118" s="36" t="s">
        <v>262</v>
      </c>
      <c r="M118" s="36" t="s">
        <v>0</v>
      </c>
      <c r="N118" s="36" t="s">
        <v>160</v>
      </c>
      <c r="O118" s="5" t="s">
        <v>161</v>
      </c>
      <c r="P118" s="5" t="s">
        <v>165</v>
      </c>
      <c r="Q118" s="5" t="s">
        <v>58</v>
      </c>
      <c r="R118" s="5" t="s">
        <v>166</v>
      </c>
      <c r="S118" s="5" t="s">
        <v>167</v>
      </c>
      <c r="T118" s="5" t="s">
        <v>168</v>
      </c>
      <c r="U118" s="5" t="s">
        <v>176</v>
      </c>
    </row>
    <row r="119" spans="1:21" ht="12.75">
      <c r="A119" s="7"/>
      <c r="B119" s="7" t="s">
        <v>59</v>
      </c>
      <c r="C119" s="7" t="s">
        <v>60</v>
      </c>
      <c r="D119" s="7" t="s">
        <v>59</v>
      </c>
      <c r="E119" s="7" t="s">
        <v>59</v>
      </c>
      <c r="F119" s="7" t="s">
        <v>59</v>
      </c>
      <c r="G119" s="7" t="s">
        <v>59</v>
      </c>
      <c r="H119" s="62" t="s">
        <v>59</v>
      </c>
      <c r="I119" s="7" t="s">
        <v>60</v>
      </c>
      <c r="J119" s="7" t="s">
        <v>60</v>
      </c>
      <c r="K119" s="62" t="s">
        <v>59</v>
      </c>
      <c r="L119" s="28"/>
      <c r="M119" s="62" t="s">
        <v>59</v>
      </c>
      <c r="N119" s="62" t="s">
        <v>59</v>
      </c>
      <c r="O119" s="28"/>
      <c r="P119" s="28"/>
      <c r="Q119" s="29" t="s">
        <v>61</v>
      </c>
      <c r="R119" s="29" t="s">
        <v>65</v>
      </c>
      <c r="S119" s="29" t="s">
        <v>65</v>
      </c>
      <c r="T119" s="29" t="s">
        <v>65</v>
      </c>
      <c r="U119" s="61" t="s">
        <v>177</v>
      </c>
    </row>
    <row r="120" spans="1:21" ht="12.75">
      <c r="A120" s="7">
        <v>1</v>
      </c>
      <c r="B120" s="7">
        <v>1</v>
      </c>
      <c r="C120" s="7">
        <v>90</v>
      </c>
      <c r="D120" s="31">
        <f>+C46-D49-0.5</f>
        <v>2.6578947368421053</v>
      </c>
      <c r="E120" s="31">
        <f>+E49</f>
        <v>5.5</v>
      </c>
      <c r="F120" s="31">
        <f aca="true" t="shared" si="3" ref="F120:F138">+D120-C$110</f>
        <v>4.527894736842105</v>
      </c>
      <c r="G120" s="31">
        <f aca="true" t="shared" si="4" ref="G120:G138">+E120-D$110</f>
        <v>4.872</v>
      </c>
      <c r="H120" s="38">
        <f>SQRT(F120^2+G120^2)</f>
        <v>6.6511814550440915</v>
      </c>
      <c r="I120" s="38">
        <f>-DEGREES(ASIN(G120/H120))</f>
        <v>-47.096510640404745</v>
      </c>
      <c r="J120" s="38">
        <f>+C120+I120</f>
        <v>42.903489359595255</v>
      </c>
      <c r="K120" s="63">
        <f aca="true" t="shared" si="5" ref="K120:K138">MIN(1.087*(ABS(J120)+6)^(-0.65),0.17)*C$104</f>
        <v>0.021681965625903462</v>
      </c>
      <c r="L120" s="64">
        <f aca="true" t="shared" si="6" ref="L120:L138">+K120/H120</f>
        <v>0.003259866802981355</v>
      </c>
      <c r="M120" s="27">
        <f aca="true" t="shared" si="7" ref="M120:M138">+H120*L$139</f>
        <v>0.017511265175092654</v>
      </c>
      <c r="N120" s="63">
        <f aca="true" t="shared" si="8" ref="N120:N138">C$104*0.209*(ABS(J120)+2)^(-0.32)</f>
        <v>0.015465240063011164</v>
      </c>
      <c r="O120" s="35">
        <f aca="true" t="shared" si="9" ref="O120:O138">+M120/N120</f>
        <v>1.1322983092241194</v>
      </c>
      <c r="P120" s="35">
        <f>+(O120*(1.9-0.9*O120))^(0.3)</f>
        <v>0.9992425125753167</v>
      </c>
      <c r="Q120" s="43">
        <f aca="true" t="shared" si="10" ref="Q120:Q138">0.6*(1+0.5*(SIN(RADIANS(ABS(J120))))^(1.5))*C$15</f>
        <v>46.11041060691587</v>
      </c>
      <c r="R120" s="43">
        <f aca="true" t="shared" si="11" ref="R120:R138">+Q120*B120*C$105</f>
        <v>8.15001507477238</v>
      </c>
      <c r="S120" s="43">
        <f aca="true" t="shared" si="12" ref="S120:S138">-R120*G120/H120</f>
        <v>-5.969897786231395</v>
      </c>
      <c r="T120" s="43">
        <f aca="true" t="shared" si="13" ref="T120:T138">+R120*F120/H120</f>
        <v>5.548248925649111</v>
      </c>
      <c r="U120" s="50">
        <f aca="true" t="shared" si="14" ref="U120:U138">+H120*R120</f>
        <v>54.20722912365584</v>
      </c>
    </row>
    <row r="121" spans="1:21" ht="12.75">
      <c r="A121" s="11">
        <v>2</v>
      </c>
      <c r="B121" s="11">
        <v>1</v>
      </c>
      <c r="C121" s="11">
        <f>+C120</f>
        <v>90</v>
      </c>
      <c r="D121" s="33">
        <f>+D120-B121</f>
        <v>1.6578947368421053</v>
      </c>
      <c r="E121" s="33">
        <f>+E120</f>
        <v>5.5</v>
      </c>
      <c r="F121" s="33">
        <f t="shared" si="3"/>
        <v>3.5278947368421054</v>
      </c>
      <c r="G121" s="33">
        <f t="shared" si="4"/>
        <v>4.872</v>
      </c>
      <c r="H121" s="40">
        <f aca="true" t="shared" si="15" ref="H121:H138">SQRT(F121^2+G121^2)</f>
        <v>6.015182896158539</v>
      </c>
      <c r="I121" s="40">
        <f>-DEGREES(ASIN(G121/H121))</f>
        <v>-54.09108901084636</v>
      </c>
      <c r="J121" s="40">
        <f aca="true" t="shared" si="16" ref="J121:J134">+C121+I121</f>
        <v>35.90891098915364</v>
      </c>
      <c r="K121" s="63">
        <f t="shared" si="5"/>
        <v>0.023970131055073188</v>
      </c>
      <c r="L121" s="64">
        <f t="shared" si="6"/>
        <v>0.003984938025804863</v>
      </c>
      <c r="M121" s="27">
        <f t="shared" si="7"/>
        <v>0.015836804856892258</v>
      </c>
      <c r="N121" s="63">
        <f t="shared" si="8"/>
        <v>0.01632634900280138</v>
      </c>
      <c r="O121" s="35">
        <f t="shared" si="9"/>
        <v>0.970015087523541</v>
      </c>
      <c r="P121" s="35">
        <f aca="true" t="shared" si="17" ref="P121:P138">+(O121*(1.9-0.9*O121))^(0.3)</f>
        <v>0.998856171356734</v>
      </c>
      <c r="Q121" s="43">
        <f t="shared" si="10"/>
        <v>44.084863228918465</v>
      </c>
      <c r="R121" s="43">
        <f t="shared" si="11"/>
        <v>7.791999575711338</v>
      </c>
      <c r="S121" s="43">
        <f t="shared" si="12"/>
        <v>-6.311133441530035</v>
      </c>
      <c r="T121" s="43">
        <f t="shared" si="13"/>
        <v>4.5699947561334175</v>
      </c>
      <c r="U121" s="50">
        <f t="shared" si="14"/>
        <v>46.87030257469343</v>
      </c>
    </row>
    <row r="122" spans="1:21" ht="12.75">
      <c r="A122" s="11">
        <v>3</v>
      </c>
      <c r="B122" s="11">
        <v>1</v>
      </c>
      <c r="C122" s="11">
        <f>+C121</f>
        <v>90</v>
      </c>
      <c r="D122" s="33">
        <f>+D121-B122</f>
        <v>0.6578947368421053</v>
      </c>
      <c r="E122" s="33">
        <f>+E121</f>
        <v>5.5</v>
      </c>
      <c r="F122" s="33">
        <f t="shared" si="3"/>
        <v>2.5278947368421054</v>
      </c>
      <c r="G122" s="33">
        <f t="shared" si="4"/>
        <v>4.872</v>
      </c>
      <c r="H122" s="40">
        <f t="shared" si="15"/>
        <v>5.488773615349245</v>
      </c>
      <c r="I122" s="40">
        <f>-DEGREES(ASIN(G122/H122))</f>
        <v>-62.57692533159036</v>
      </c>
      <c r="J122" s="40">
        <f t="shared" si="16"/>
        <v>27.42307466840964</v>
      </c>
      <c r="K122" s="63">
        <f t="shared" si="5"/>
        <v>0.02776766705204834</v>
      </c>
      <c r="L122" s="64">
        <f t="shared" si="6"/>
        <v>0.005058992955074084</v>
      </c>
      <c r="M122" s="27">
        <f t="shared" si="7"/>
        <v>0.014450871760766818</v>
      </c>
      <c r="N122" s="63">
        <f t="shared" si="8"/>
        <v>0.017705415278208618</v>
      </c>
      <c r="O122" s="35">
        <f t="shared" si="9"/>
        <v>0.8161837230981297</v>
      </c>
      <c r="P122" s="35">
        <f t="shared" si="17"/>
        <v>0.9851055290229654</v>
      </c>
      <c r="Q122" s="43">
        <f t="shared" si="10"/>
        <v>41.625977690234</v>
      </c>
      <c r="R122" s="43">
        <f t="shared" si="11"/>
        <v>7.357391556748859</v>
      </c>
      <c r="S122" s="43">
        <f t="shared" si="12"/>
        <v>-6.530641301044014</v>
      </c>
      <c r="T122" s="43">
        <f t="shared" si="13"/>
        <v>3.3885003639394173</v>
      </c>
      <c r="U122" s="50">
        <f t="shared" si="14"/>
        <v>40.38305665447644</v>
      </c>
    </row>
    <row r="123" spans="1:21" ht="12.75">
      <c r="A123" s="10">
        <v>4</v>
      </c>
      <c r="B123" s="10">
        <v>1</v>
      </c>
      <c r="C123" s="10">
        <f>+C122</f>
        <v>90</v>
      </c>
      <c r="D123" s="34">
        <f>+D122-B123</f>
        <v>-0.3421052631578947</v>
      </c>
      <c r="E123" s="34">
        <f>+E122</f>
        <v>5.5</v>
      </c>
      <c r="F123" s="34">
        <f t="shared" si="3"/>
        <v>1.5278947368421054</v>
      </c>
      <c r="G123" s="34">
        <f t="shared" si="4"/>
        <v>4.872</v>
      </c>
      <c r="H123" s="42">
        <f t="shared" si="15"/>
        <v>5.105961841501541</v>
      </c>
      <c r="I123" s="42">
        <f>-DEGREES(ASIN(G123/H123))</f>
        <v>-72.5881947396557</v>
      </c>
      <c r="J123" s="42">
        <f t="shared" si="16"/>
        <v>17.411805260344295</v>
      </c>
      <c r="K123" s="63">
        <f t="shared" si="5"/>
        <v>0.03499748739706519</v>
      </c>
      <c r="L123" s="64">
        <f t="shared" si="6"/>
        <v>0.006854239902970616</v>
      </c>
      <c r="M123" s="27">
        <f t="shared" si="7"/>
        <v>0.013443002928845092</v>
      </c>
      <c r="N123" s="63">
        <f t="shared" si="8"/>
        <v>0.020225776251155094</v>
      </c>
      <c r="O123" s="35">
        <f t="shared" si="9"/>
        <v>0.6646470702491512</v>
      </c>
      <c r="P123" s="35">
        <f t="shared" si="17"/>
        <v>0.9575079173633657</v>
      </c>
      <c r="Q123" s="43">
        <f t="shared" si="10"/>
        <v>38.94643123720659</v>
      </c>
      <c r="R123" s="43">
        <f t="shared" si="11"/>
        <v>6.883781721176264</v>
      </c>
      <c r="S123" s="43">
        <f t="shared" si="12"/>
        <v>-6.568357850419834</v>
      </c>
      <c r="T123" s="43">
        <f t="shared" si="13"/>
        <v>2.0598849321330026</v>
      </c>
      <c r="U123" s="50">
        <f t="shared" si="14"/>
        <v>35.14832679355181</v>
      </c>
    </row>
    <row r="124" spans="1:21" ht="12.75">
      <c r="A124" s="5">
        <v>5</v>
      </c>
      <c r="B124" s="5">
        <v>1</v>
      </c>
      <c r="C124" s="5">
        <v>0</v>
      </c>
      <c r="D124" s="35">
        <f>+D123-B123/2</f>
        <v>-0.8421052631578947</v>
      </c>
      <c r="E124" s="35">
        <f>+E123-B124/2</f>
        <v>5</v>
      </c>
      <c r="F124" s="35">
        <f t="shared" si="3"/>
        <v>1.0278947368421054</v>
      </c>
      <c r="G124" s="35">
        <f t="shared" si="4"/>
        <v>4.372</v>
      </c>
      <c r="H124" s="43">
        <f t="shared" si="15"/>
        <v>4.491208255027559</v>
      </c>
      <c r="I124" s="43">
        <f>-DEGREES(ASIN(G124/H124))</f>
        <v>-76.76955304718875</v>
      </c>
      <c r="J124" s="43">
        <f>+C124+I124</f>
        <v>-76.76955304718875</v>
      </c>
      <c r="K124" s="37">
        <f t="shared" si="5"/>
        <v>0.01540116792742038</v>
      </c>
      <c r="L124" s="66">
        <f t="shared" si="6"/>
        <v>0.0034291814257733353</v>
      </c>
      <c r="M124" s="67">
        <f t="shared" si="7"/>
        <v>0.011824476484656572</v>
      </c>
      <c r="N124" s="37">
        <f t="shared" si="8"/>
        <v>0.012919675709935567</v>
      </c>
      <c r="O124" s="31">
        <f t="shared" si="9"/>
        <v>0.9152301303943133</v>
      </c>
      <c r="P124" s="31">
        <f t="shared" si="17"/>
        <v>0.99549305203918</v>
      </c>
      <c r="Q124" s="38">
        <f t="shared" si="10"/>
        <v>53.288127018166584</v>
      </c>
      <c r="R124" s="38">
        <f t="shared" si="11"/>
        <v>9.418676450460943</v>
      </c>
      <c r="S124" s="38">
        <f t="shared" si="12"/>
        <v>-9.168680475976405</v>
      </c>
      <c r="T124" s="38">
        <f t="shared" si="13"/>
        <v>2.1556354997811336</v>
      </c>
      <c r="U124" s="50">
        <f t="shared" si="14"/>
        <v>42.30123742574386</v>
      </c>
    </row>
    <row r="125" spans="1:21" ht="12.75">
      <c r="A125" s="5">
        <v>6</v>
      </c>
      <c r="B125" s="5">
        <v>1</v>
      </c>
      <c r="C125" s="5">
        <f>+C124</f>
        <v>0</v>
      </c>
      <c r="D125" s="35">
        <f>+D124</f>
        <v>-0.8421052631578947</v>
      </c>
      <c r="E125" s="35">
        <f aca="true" t="shared" si="18" ref="E125:E134">+E124-B124</f>
        <v>4</v>
      </c>
      <c r="F125" s="35">
        <f t="shared" si="3"/>
        <v>1.0278947368421054</v>
      </c>
      <c r="G125" s="35">
        <f t="shared" si="4"/>
        <v>3.372</v>
      </c>
      <c r="H125" s="43">
        <f t="shared" si="15"/>
        <v>3.5251881637761837</v>
      </c>
      <c r="I125" s="43">
        <f>-DEGREES(ASIN(G125/H125))</f>
        <v>-73.04708182846666</v>
      </c>
      <c r="J125" s="43">
        <f t="shared" si="16"/>
        <v>-73.04708182846666</v>
      </c>
      <c r="K125" s="39">
        <f t="shared" si="5"/>
        <v>0.0158687879054532</v>
      </c>
      <c r="L125" s="68">
        <f t="shared" si="6"/>
        <v>0.004501543511497141</v>
      </c>
      <c r="M125" s="69">
        <f t="shared" si="7"/>
        <v>0.009281133757246663</v>
      </c>
      <c r="N125" s="39">
        <f t="shared" si="8"/>
        <v>0.013121378873662421</v>
      </c>
      <c r="O125" s="33">
        <f t="shared" si="9"/>
        <v>0.7073291493682878</v>
      </c>
      <c r="P125" s="33">
        <f t="shared" si="17"/>
        <v>0.9668277717885587</v>
      </c>
      <c r="Q125" s="40">
        <f t="shared" si="10"/>
        <v>52.83954679690462</v>
      </c>
      <c r="R125" s="40">
        <f t="shared" si="11"/>
        <v>9.339389896352891</v>
      </c>
      <c r="S125" s="40">
        <f t="shared" si="12"/>
        <v>-8.933543762034887</v>
      </c>
      <c r="T125" s="40">
        <f t="shared" si="13"/>
        <v>2.7232332782752917</v>
      </c>
      <c r="U125" s="50">
        <f t="shared" si="14"/>
        <v>32.92310671951409</v>
      </c>
    </row>
    <row r="126" spans="1:21" ht="12.75">
      <c r="A126" s="5">
        <v>7</v>
      </c>
      <c r="B126" s="5">
        <v>1</v>
      </c>
      <c r="C126" s="5">
        <f aca="true" t="shared" si="19" ref="C126:C134">+C125</f>
        <v>0</v>
      </c>
      <c r="D126" s="35">
        <f aca="true" t="shared" si="20" ref="D126:D134">+D125</f>
        <v>-0.8421052631578947</v>
      </c>
      <c r="E126" s="35">
        <f t="shared" si="18"/>
        <v>3</v>
      </c>
      <c r="F126" s="35">
        <f t="shared" si="3"/>
        <v>1.0278947368421054</v>
      </c>
      <c r="G126" s="35">
        <f t="shared" si="4"/>
        <v>2.372</v>
      </c>
      <c r="H126" s="43">
        <f t="shared" si="15"/>
        <v>2.5851405358370174</v>
      </c>
      <c r="I126" s="43">
        <f>-DEGREES(ASIN(G126/H126))</f>
        <v>-66.57073634914305</v>
      </c>
      <c r="J126" s="43">
        <f t="shared" si="16"/>
        <v>-66.57073634914305</v>
      </c>
      <c r="K126" s="39">
        <f t="shared" si="5"/>
        <v>0.016775464659769198</v>
      </c>
      <c r="L126" s="68">
        <f t="shared" si="6"/>
        <v>0.006489188663910542</v>
      </c>
      <c r="M126" s="69">
        <f t="shared" si="7"/>
        <v>0.006806171466513242</v>
      </c>
      <c r="N126" s="39">
        <f t="shared" si="8"/>
        <v>0.01350584852468895</v>
      </c>
      <c r="O126" s="33">
        <f t="shared" si="9"/>
        <v>0.5039425293472994</v>
      </c>
      <c r="P126" s="33">
        <f t="shared" si="17"/>
        <v>0.9095058282314106</v>
      </c>
      <c r="Q126" s="40">
        <f t="shared" si="10"/>
        <v>51.82043044740052</v>
      </c>
      <c r="R126" s="40">
        <f t="shared" si="11"/>
        <v>9.159261081578041</v>
      </c>
      <c r="S126" s="40">
        <f t="shared" si="12"/>
        <v>-8.404095245239246</v>
      </c>
      <c r="T126" s="40">
        <f t="shared" si="13"/>
        <v>3.6418740600763844</v>
      </c>
      <c r="U126" s="50">
        <f t="shared" si="14"/>
        <v>23.677977100301796</v>
      </c>
    </row>
    <row r="127" spans="1:21" ht="12.75">
      <c r="A127" s="5">
        <v>8</v>
      </c>
      <c r="B127" s="5">
        <v>1</v>
      </c>
      <c r="C127" s="5">
        <f t="shared" si="19"/>
        <v>0</v>
      </c>
      <c r="D127" s="35">
        <f t="shared" si="20"/>
        <v>-0.8421052631578947</v>
      </c>
      <c r="E127" s="35">
        <f t="shared" si="18"/>
        <v>2</v>
      </c>
      <c r="F127" s="35">
        <f t="shared" si="3"/>
        <v>1.0278947368421054</v>
      </c>
      <c r="G127" s="35">
        <f t="shared" si="4"/>
        <v>1.3719999999999999</v>
      </c>
      <c r="H127" s="43">
        <f t="shared" si="15"/>
        <v>1.7143370701316882</v>
      </c>
      <c r="I127" s="43">
        <f>-DEGREES(ASIN(G127/H127))</f>
        <v>-53.159654030129026</v>
      </c>
      <c r="J127" s="43">
        <f t="shared" si="16"/>
        <v>-53.159654030129026</v>
      </c>
      <c r="K127" s="39">
        <f t="shared" si="5"/>
        <v>0.0191581203064511</v>
      </c>
      <c r="L127" s="68">
        <f t="shared" si="6"/>
        <v>0.011175235395790312</v>
      </c>
      <c r="M127" s="69">
        <f t="shared" si="7"/>
        <v>0.004513515566742028</v>
      </c>
      <c r="N127" s="39">
        <f t="shared" si="8"/>
        <v>0.01447996139687038</v>
      </c>
      <c r="O127" s="33">
        <f t="shared" si="9"/>
        <v>0.3117077071571168</v>
      </c>
      <c r="P127" s="33">
        <f t="shared" si="17"/>
        <v>0.8145834389359098</v>
      </c>
      <c r="Q127" s="40">
        <f t="shared" si="10"/>
        <v>48.887223124282855</v>
      </c>
      <c r="R127" s="40">
        <f t="shared" si="11"/>
        <v>8.640816687216994</v>
      </c>
      <c r="S127" s="40">
        <f t="shared" si="12"/>
        <v>-6.915326455579151</v>
      </c>
      <c r="T127" s="40">
        <f t="shared" si="13"/>
        <v>5.180923955710482</v>
      </c>
      <c r="U127" s="50">
        <f t="shared" si="14"/>
        <v>14.813272363108581</v>
      </c>
    </row>
    <row r="128" spans="1:21" ht="12.75">
      <c r="A128" s="5">
        <v>9</v>
      </c>
      <c r="B128" s="5">
        <v>1</v>
      </c>
      <c r="C128" s="5">
        <f t="shared" si="19"/>
        <v>0</v>
      </c>
      <c r="D128" s="35">
        <f t="shared" si="20"/>
        <v>-0.8421052631578947</v>
      </c>
      <c r="E128" s="35">
        <f t="shared" si="18"/>
        <v>1</v>
      </c>
      <c r="F128" s="35">
        <f t="shared" si="3"/>
        <v>1.0278947368421054</v>
      </c>
      <c r="G128" s="35">
        <f t="shared" si="4"/>
        <v>0.372</v>
      </c>
      <c r="H128" s="43">
        <f t="shared" si="15"/>
        <v>1.0931384130235755</v>
      </c>
      <c r="I128" s="43">
        <f>-DEGREES(ASIN(G128/H128))</f>
        <v>-19.895431334765654</v>
      </c>
      <c r="J128" s="43">
        <f t="shared" si="16"/>
        <v>-19.895431334765654</v>
      </c>
      <c r="K128" s="39">
        <f t="shared" si="5"/>
        <v>0.0327774003462863</v>
      </c>
      <c r="L128" s="68">
        <f t="shared" si="6"/>
        <v>0.029984675276047958</v>
      </c>
      <c r="M128" s="69">
        <f t="shared" si="7"/>
        <v>0.002878020507021168</v>
      </c>
      <c r="N128" s="39">
        <f t="shared" si="8"/>
        <v>0.019461359406715506</v>
      </c>
      <c r="O128" s="33">
        <f t="shared" si="9"/>
        <v>0.14788383724253368</v>
      </c>
      <c r="P128" s="33">
        <f t="shared" si="17"/>
        <v>0.6685596160816653</v>
      </c>
      <c r="Q128" s="40">
        <f t="shared" si="10"/>
        <v>39.57333868713317</v>
      </c>
      <c r="R128" s="40">
        <f t="shared" si="11"/>
        <v>6.994587612950788</v>
      </c>
      <c r="S128" s="40">
        <f t="shared" si="12"/>
        <v>-2.3802901453446377</v>
      </c>
      <c r="T128" s="40">
        <f t="shared" si="13"/>
        <v>6.577117506873342</v>
      </c>
      <c r="U128" s="50">
        <f t="shared" si="14"/>
        <v>7.646052402975384</v>
      </c>
    </row>
    <row r="129" spans="1:21" ht="12.75">
      <c r="A129" s="5">
        <v>10</v>
      </c>
      <c r="B129" s="5">
        <v>1</v>
      </c>
      <c r="C129" s="5">
        <f t="shared" si="19"/>
        <v>0</v>
      </c>
      <c r="D129" s="35">
        <f t="shared" si="20"/>
        <v>-0.8421052631578947</v>
      </c>
      <c r="E129" s="35">
        <f t="shared" si="18"/>
        <v>0</v>
      </c>
      <c r="F129" s="35">
        <f t="shared" si="3"/>
        <v>1.0278947368421054</v>
      </c>
      <c r="G129" s="35">
        <f t="shared" si="4"/>
        <v>-0.628</v>
      </c>
      <c r="H129" s="43">
        <f t="shared" si="15"/>
        <v>1.204554519325589</v>
      </c>
      <c r="I129" s="43">
        <f>-DEGREES(ASIN(G129/H129))</f>
        <v>31.423157115773062</v>
      </c>
      <c r="J129" s="43">
        <f t="shared" si="16"/>
        <v>31.423157115773062</v>
      </c>
      <c r="K129" s="39">
        <f t="shared" si="5"/>
        <v>0.02580050923263924</v>
      </c>
      <c r="L129" s="68">
        <f t="shared" si="6"/>
        <v>0.021419129494515975</v>
      </c>
      <c r="M129" s="69">
        <f t="shared" si="7"/>
        <v>0.0031713574119632596</v>
      </c>
      <c r="N129" s="39">
        <f t="shared" si="8"/>
        <v>0.016997736959151</v>
      </c>
      <c r="O129" s="33">
        <f t="shared" si="9"/>
        <v>0.18657527290748602</v>
      </c>
      <c r="P129" s="33">
        <f t="shared" si="17"/>
        <v>0.7125687616092542</v>
      </c>
      <c r="Q129" s="40">
        <f t="shared" si="10"/>
        <v>42.77598254606569</v>
      </c>
      <c r="R129" s="40">
        <f t="shared" si="11"/>
        <v>7.5606549150171105</v>
      </c>
      <c r="S129" s="40">
        <f t="shared" si="12"/>
        <v>3.941781970391117</v>
      </c>
      <c r="T129" s="40">
        <f t="shared" si="13"/>
        <v>6.451810415834607</v>
      </c>
      <c r="U129" s="50">
        <f t="shared" si="14"/>
        <v>9.107221046945089</v>
      </c>
    </row>
    <row r="130" spans="1:21" ht="12.75">
      <c r="A130" s="5">
        <v>11</v>
      </c>
      <c r="B130" s="5">
        <v>1</v>
      </c>
      <c r="C130" s="5">
        <f t="shared" si="19"/>
        <v>0</v>
      </c>
      <c r="D130" s="35">
        <f t="shared" si="20"/>
        <v>-0.8421052631578947</v>
      </c>
      <c r="E130" s="35">
        <f t="shared" si="18"/>
        <v>-1</v>
      </c>
      <c r="F130" s="35">
        <f t="shared" si="3"/>
        <v>1.0278947368421054</v>
      </c>
      <c r="G130" s="35">
        <f t="shared" si="4"/>
        <v>-1.6280000000000001</v>
      </c>
      <c r="H130" s="43">
        <f t="shared" si="15"/>
        <v>1.9253445380055232</v>
      </c>
      <c r="I130" s="43">
        <f>-DEGREES(ASIN(G130/H130))</f>
        <v>57.73230115808717</v>
      </c>
      <c r="J130" s="43">
        <f t="shared" si="16"/>
        <v>57.73230115808717</v>
      </c>
      <c r="K130" s="39">
        <f t="shared" si="5"/>
        <v>0.018253065530775752</v>
      </c>
      <c r="L130" s="68">
        <f t="shared" si="6"/>
        <v>0.009480415151920923</v>
      </c>
      <c r="M130" s="69">
        <f t="shared" si="7"/>
        <v>0.005069057127115692</v>
      </c>
      <c r="N130" s="39">
        <f t="shared" si="8"/>
        <v>0.014115599771770697</v>
      </c>
      <c r="O130" s="33">
        <f t="shared" si="9"/>
        <v>0.3591102899682042</v>
      </c>
      <c r="P130" s="33">
        <f t="shared" si="17"/>
        <v>0.8431433117779005</v>
      </c>
      <c r="Q130" s="40">
        <f t="shared" si="10"/>
        <v>49.99559672508299</v>
      </c>
      <c r="R130" s="40">
        <f t="shared" si="11"/>
        <v>8.836721721158417</v>
      </c>
      <c r="S130" s="40">
        <f t="shared" si="12"/>
        <v>7.47200445326458</v>
      </c>
      <c r="T130" s="40">
        <f t="shared" si="13"/>
        <v>4.717711333643388</v>
      </c>
      <c r="U130" s="50">
        <f t="shared" si="14"/>
        <v>17.013733899707123</v>
      </c>
    </row>
    <row r="131" spans="1:21" ht="12.75">
      <c r="A131" s="5">
        <v>12</v>
      </c>
      <c r="B131" s="5">
        <v>1</v>
      </c>
      <c r="C131" s="5">
        <f t="shared" si="19"/>
        <v>0</v>
      </c>
      <c r="D131" s="35">
        <f t="shared" si="20"/>
        <v>-0.8421052631578947</v>
      </c>
      <c r="E131" s="35">
        <f t="shared" si="18"/>
        <v>-2</v>
      </c>
      <c r="F131" s="35">
        <f t="shared" si="3"/>
        <v>1.0278947368421054</v>
      </c>
      <c r="G131" s="35">
        <f t="shared" si="4"/>
        <v>-2.628</v>
      </c>
      <c r="H131" s="43">
        <f t="shared" si="15"/>
        <v>2.821870229126014</v>
      </c>
      <c r="I131" s="43">
        <f>-DEGREES(ASIN(G131/H131))</f>
        <v>68.63794479972238</v>
      </c>
      <c r="J131" s="43">
        <f t="shared" si="16"/>
        <v>68.63794479972238</v>
      </c>
      <c r="K131" s="39">
        <f t="shared" si="5"/>
        <v>0.016471978461494792</v>
      </c>
      <c r="L131" s="68">
        <f t="shared" si="6"/>
        <v>0.005837255835324672</v>
      </c>
      <c r="M131" s="69">
        <f t="shared" si="7"/>
        <v>0.007429434635924771</v>
      </c>
      <c r="N131" s="39">
        <f t="shared" si="8"/>
        <v>0.013378090119194474</v>
      </c>
      <c r="O131" s="33">
        <f t="shared" si="9"/>
        <v>0.5553434436254279</v>
      </c>
      <c r="P131" s="33">
        <f t="shared" si="17"/>
        <v>0.9273094166773519</v>
      </c>
      <c r="Q131" s="40">
        <f t="shared" si="10"/>
        <v>52.17726090576661</v>
      </c>
      <c r="R131" s="40">
        <f t="shared" si="11"/>
        <v>9.222330865094248</v>
      </c>
      <c r="S131" s="40">
        <f t="shared" si="12"/>
        <v>8.588731424752341</v>
      </c>
      <c r="T131" s="40">
        <f t="shared" si="13"/>
        <v>3.3593271794723476</v>
      </c>
      <c r="U131" s="50">
        <f t="shared" si="14"/>
        <v>26.024220911359414</v>
      </c>
    </row>
    <row r="132" spans="1:21" ht="12.75">
      <c r="A132" s="5">
        <v>13</v>
      </c>
      <c r="B132" s="5">
        <v>1</v>
      </c>
      <c r="C132" s="5">
        <f t="shared" si="19"/>
        <v>0</v>
      </c>
      <c r="D132" s="35">
        <f t="shared" si="20"/>
        <v>-0.8421052631578947</v>
      </c>
      <c r="E132" s="35">
        <f t="shared" si="18"/>
        <v>-3</v>
      </c>
      <c r="F132" s="35">
        <f t="shared" si="3"/>
        <v>1.0278947368421054</v>
      </c>
      <c r="G132" s="35">
        <f t="shared" si="4"/>
        <v>-3.628</v>
      </c>
      <c r="H132" s="43">
        <f t="shared" si="15"/>
        <v>3.77080251273223</v>
      </c>
      <c r="I132" s="43">
        <f>-DEGREES(ASIN(G132/H132))</f>
        <v>74.18137029909694</v>
      </c>
      <c r="J132" s="43">
        <f t="shared" si="16"/>
        <v>74.18137029909694</v>
      </c>
      <c r="K132" s="39">
        <f t="shared" si="5"/>
        <v>0.0157225069223945</v>
      </c>
      <c r="L132" s="68">
        <f t="shared" si="6"/>
        <v>0.004169538677591037</v>
      </c>
      <c r="M132" s="69">
        <f t="shared" si="7"/>
        <v>0.009927788494370891</v>
      </c>
      <c r="N132" s="39">
        <f t="shared" si="8"/>
        <v>0.01305854184705526</v>
      </c>
      <c r="O132" s="33">
        <f t="shared" si="9"/>
        <v>0.760252454726378</v>
      </c>
      <c r="P132" s="33">
        <f t="shared" si="17"/>
        <v>0.9766592669538344</v>
      </c>
      <c r="Q132" s="40">
        <f t="shared" si="10"/>
        <v>52.98723680518935</v>
      </c>
      <c r="R132" s="40">
        <f t="shared" si="11"/>
        <v>9.365494105317216</v>
      </c>
      <c r="S132" s="40">
        <f t="shared" si="12"/>
        <v>9.010817325851212</v>
      </c>
      <c r="T132" s="40">
        <f t="shared" si="13"/>
        <v>2.5529690473782014</v>
      </c>
      <c r="U132" s="50">
        <f t="shared" si="14"/>
        <v>35.31542870530905</v>
      </c>
    </row>
    <row r="133" spans="1:21" ht="12.75">
      <c r="A133" s="5">
        <v>14</v>
      </c>
      <c r="B133" s="5">
        <v>1</v>
      </c>
      <c r="C133" s="5">
        <f t="shared" si="19"/>
        <v>0</v>
      </c>
      <c r="D133" s="35">
        <f t="shared" si="20"/>
        <v>-0.8421052631578947</v>
      </c>
      <c r="E133" s="35">
        <f t="shared" si="18"/>
        <v>-4</v>
      </c>
      <c r="F133" s="35">
        <f t="shared" si="3"/>
        <v>1.0278947368421054</v>
      </c>
      <c r="G133" s="35">
        <f t="shared" si="4"/>
        <v>-4.628</v>
      </c>
      <c r="H133" s="43">
        <f t="shared" si="15"/>
        <v>4.7407754207542565</v>
      </c>
      <c r="I133" s="43">
        <f>-DEGREES(ASIN(G133/H133))</f>
        <v>77.47767770986476</v>
      </c>
      <c r="J133" s="43">
        <f t="shared" si="16"/>
        <v>77.47767770986476</v>
      </c>
      <c r="K133" s="39">
        <f t="shared" si="5"/>
        <v>0.015316122088007618</v>
      </c>
      <c r="L133" s="68">
        <f t="shared" si="6"/>
        <v>0.0032307208691971377</v>
      </c>
      <c r="M133" s="69">
        <f t="shared" si="7"/>
        <v>0.012481538218361373</v>
      </c>
      <c r="N133" s="39">
        <f t="shared" si="8"/>
        <v>0.012882728100049246</v>
      </c>
      <c r="O133" s="33">
        <f t="shared" si="9"/>
        <v>0.9688583133500784</v>
      </c>
      <c r="P133" s="33">
        <f t="shared" si="17"/>
        <v>0.9988022292727965</v>
      </c>
      <c r="Q133" s="40">
        <f t="shared" si="10"/>
        <v>53.36154845702233</v>
      </c>
      <c r="R133" s="40">
        <f t="shared" si="11"/>
        <v>9.431653689778697</v>
      </c>
      <c r="S133" s="40">
        <f t="shared" si="12"/>
        <v>9.207289821240078</v>
      </c>
      <c r="T133" s="40">
        <f t="shared" si="13"/>
        <v>2.04497077524472</v>
      </c>
      <c r="U133" s="50">
        <f t="shared" si="14"/>
        <v>44.71335198956904</v>
      </c>
    </row>
    <row r="134" spans="1:21" ht="12.75">
      <c r="A134" s="5">
        <v>15</v>
      </c>
      <c r="B134" s="5">
        <v>1</v>
      </c>
      <c r="C134" s="5">
        <f t="shared" si="19"/>
        <v>0</v>
      </c>
      <c r="D134" s="35">
        <f t="shared" si="20"/>
        <v>-0.8421052631578947</v>
      </c>
      <c r="E134" s="35">
        <f t="shared" si="18"/>
        <v>-5</v>
      </c>
      <c r="F134" s="35">
        <f t="shared" si="3"/>
        <v>1.0278947368421054</v>
      </c>
      <c r="G134" s="35">
        <f t="shared" si="4"/>
        <v>-5.628</v>
      </c>
      <c r="H134" s="43">
        <f t="shared" si="15"/>
        <v>5.721097061755525</v>
      </c>
      <c r="I134" s="43">
        <f>-DEGREES(ASIN(G134/H134))</f>
        <v>79.64961155406812</v>
      </c>
      <c r="J134" s="43">
        <f t="shared" si="16"/>
        <v>79.64961155406812</v>
      </c>
      <c r="K134" s="41">
        <f t="shared" si="5"/>
        <v>0.015062534140437202</v>
      </c>
      <c r="L134" s="70">
        <f t="shared" si="6"/>
        <v>0.0026328052081352467</v>
      </c>
      <c r="M134" s="71">
        <f t="shared" si="7"/>
        <v>0.015062534140437202</v>
      </c>
      <c r="N134" s="41">
        <f t="shared" si="8"/>
        <v>0.012772060745912965</v>
      </c>
      <c r="O134" s="34">
        <f t="shared" si="9"/>
        <v>1.1793346774722462</v>
      </c>
      <c r="P134" s="34">
        <f t="shared" si="17"/>
        <v>0.9966837788523615</v>
      </c>
      <c r="Q134" s="42">
        <f t="shared" si="10"/>
        <v>53.562432352159185</v>
      </c>
      <c r="R134" s="42">
        <f t="shared" si="11"/>
        <v>9.467159918244135</v>
      </c>
      <c r="S134" s="42">
        <f t="shared" si="12"/>
        <v>9.31310471483744</v>
      </c>
      <c r="T134" s="42">
        <f t="shared" si="13"/>
        <v>1.7009401776902628</v>
      </c>
      <c r="U134" s="50">
        <f t="shared" si="14"/>
        <v>54.16254079143619</v>
      </c>
    </row>
    <row r="135" spans="1:21" ht="12.75">
      <c r="A135" s="7">
        <v>16</v>
      </c>
      <c r="B135" s="7">
        <v>1</v>
      </c>
      <c r="C135" s="7">
        <f>+C120</f>
        <v>90</v>
      </c>
      <c r="D135" s="31">
        <f>+D123</f>
        <v>-0.3421052631578947</v>
      </c>
      <c r="E135" s="31">
        <f>-E123</f>
        <v>-5.5</v>
      </c>
      <c r="F135" s="31">
        <f t="shared" si="3"/>
        <v>1.5278947368421054</v>
      </c>
      <c r="G135" s="31">
        <f t="shared" si="4"/>
        <v>-6.128</v>
      </c>
      <c r="H135" s="38">
        <f t="shared" si="15"/>
        <v>6.315603401644993</v>
      </c>
      <c r="I135" s="38">
        <f>-DEGREES(ASIN(G135/H135))</f>
        <v>75.99988789495893</v>
      </c>
      <c r="J135" s="38">
        <f>+C135-I135</f>
        <v>14.000112105041069</v>
      </c>
      <c r="K135" s="37">
        <f t="shared" si="5"/>
        <v>0.038770238556605593</v>
      </c>
      <c r="L135" s="66">
        <f t="shared" si="6"/>
        <v>0.006138801962534143</v>
      </c>
      <c r="M135" s="67">
        <f t="shared" si="7"/>
        <v>0.01662775352836762</v>
      </c>
      <c r="N135" s="37">
        <f t="shared" si="8"/>
        <v>0.021516267084590167</v>
      </c>
      <c r="O135" s="31">
        <f t="shared" si="9"/>
        <v>0.7727991785469295</v>
      </c>
      <c r="P135" s="31">
        <f t="shared" si="17"/>
        <v>0.9787233584593299</v>
      </c>
      <c r="Q135" s="38">
        <f t="shared" si="10"/>
        <v>38.141856558303196</v>
      </c>
      <c r="R135" s="38">
        <f t="shared" si="11"/>
        <v>6.741573146680089</v>
      </c>
      <c r="S135" s="38">
        <f t="shared" si="12"/>
        <v>6.54131642149904</v>
      </c>
      <c r="T135" s="38">
        <f t="shared" si="13"/>
        <v>1.6309469537250683</v>
      </c>
      <c r="U135" s="50">
        <f t="shared" si="14"/>
        <v>42.57710229761131</v>
      </c>
    </row>
    <row r="136" spans="1:21" ht="12.75">
      <c r="A136" s="11">
        <v>17</v>
      </c>
      <c r="B136" s="11">
        <v>1</v>
      </c>
      <c r="C136" s="11">
        <f>+C135</f>
        <v>90</v>
      </c>
      <c r="D136" s="33">
        <f>+D122</f>
        <v>0.6578947368421053</v>
      </c>
      <c r="E136" s="33">
        <f>-E122</f>
        <v>-5.5</v>
      </c>
      <c r="F136" s="33">
        <f t="shared" si="3"/>
        <v>2.5278947368421054</v>
      </c>
      <c r="G136" s="33">
        <f t="shared" si="4"/>
        <v>-6.128</v>
      </c>
      <c r="H136" s="40">
        <f t="shared" si="15"/>
        <v>6.62892418123439</v>
      </c>
      <c r="I136" s="40">
        <f>-DEGREES(ASIN(G136/H136))</f>
        <v>67.58309555433671</v>
      </c>
      <c r="J136" s="40">
        <f>+C136-I136</f>
        <v>22.41690444566329</v>
      </c>
      <c r="K136" s="39">
        <f t="shared" si="5"/>
        <v>0.03085635726249421</v>
      </c>
      <c r="L136" s="68">
        <f t="shared" si="6"/>
        <v>0.004654806182554401</v>
      </c>
      <c r="M136" s="69">
        <f t="shared" si="7"/>
        <v>0.01745266610868758</v>
      </c>
      <c r="N136" s="39">
        <f t="shared" si="8"/>
        <v>0.018794263073890653</v>
      </c>
      <c r="O136" s="33">
        <f t="shared" si="9"/>
        <v>0.928616676273578</v>
      </c>
      <c r="P136" s="33">
        <f t="shared" si="17"/>
        <v>0.9964681639771602</v>
      </c>
      <c r="Q136" s="40">
        <f t="shared" si="10"/>
        <v>40.2388339686366</v>
      </c>
      <c r="R136" s="40">
        <f t="shared" si="11"/>
        <v>7.112213903956518</v>
      </c>
      <c r="S136" s="40">
        <f t="shared" si="12"/>
        <v>6.5747692403580515</v>
      </c>
      <c r="T136" s="40">
        <f t="shared" si="13"/>
        <v>2.7121939553936825</v>
      </c>
      <c r="U136" s="50">
        <f t="shared" si="14"/>
        <v>47.146326730048806</v>
      </c>
    </row>
    <row r="137" spans="1:21" ht="12.75">
      <c r="A137" s="11">
        <v>18</v>
      </c>
      <c r="B137" s="11">
        <v>1</v>
      </c>
      <c r="C137" s="11">
        <f>+C136</f>
        <v>90</v>
      </c>
      <c r="D137" s="33">
        <f>+D121</f>
        <v>1.6578947368421053</v>
      </c>
      <c r="E137" s="33">
        <f>-E121</f>
        <v>-5.5</v>
      </c>
      <c r="F137" s="33">
        <f t="shared" si="3"/>
        <v>3.5278947368421054</v>
      </c>
      <c r="G137" s="33">
        <f t="shared" si="4"/>
        <v>-6.128</v>
      </c>
      <c r="H137" s="40">
        <f t="shared" si="15"/>
        <v>7.070956461062268</v>
      </c>
      <c r="I137" s="40">
        <f>-DEGREES(ASIN(G137/H137))</f>
        <v>60.07092969677793</v>
      </c>
      <c r="J137" s="40">
        <f>+C137-I137</f>
        <v>29.92907030322207</v>
      </c>
      <c r="K137" s="39">
        <f t="shared" si="5"/>
        <v>0.026492910115439847</v>
      </c>
      <c r="L137" s="68">
        <f t="shared" si="6"/>
        <v>0.0037467222802641644</v>
      </c>
      <c r="M137" s="69">
        <f t="shared" si="7"/>
        <v>0.018616450997182312</v>
      </c>
      <c r="N137" s="39">
        <f t="shared" si="8"/>
        <v>0.017248315493830914</v>
      </c>
      <c r="O137" s="33">
        <f t="shared" si="9"/>
        <v>1.0793199488866452</v>
      </c>
      <c r="P137" s="33">
        <f t="shared" si="17"/>
        <v>1.0006803116833367</v>
      </c>
      <c r="Q137" s="40">
        <f t="shared" si="10"/>
        <v>42.343496259176206</v>
      </c>
      <c r="R137" s="40">
        <f t="shared" si="11"/>
        <v>7.484212963809394</v>
      </c>
      <c r="S137" s="40">
        <f t="shared" si="12"/>
        <v>6.486146152190272</v>
      </c>
      <c r="T137" s="40">
        <f t="shared" si="13"/>
        <v>3.7340797768767513</v>
      </c>
      <c r="U137" s="50">
        <f t="shared" si="14"/>
        <v>52.92054401241403</v>
      </c>
    </row>
    <row r="138" spans="1:21" ht="12.75">
      <c r="A138" s="10">
        <v>19</v>
      </c>
      <c r="B138" s="10">
        <v>1</v>
      </c>
      <c r="C138" s="10">
        <f>+C137</f>
        <v>90</v>
      </c>
      <c r="D138" s="34">
        <f>+D120</f>
        <v>2.6578947368421053</v>
      </c>
      <c r="E138" s="34">
        <f>-E120</f>
        <v>-5.5</v>
      </c>
      <c r="F138" s="34">
        <f t="shared" si="3"/>
        <v>4.527894736842105</v>
      </c>
      <c r="G138" s="34">
        <f t="shared" si="4"/>
        <v>-6.128</v>
      </c>
      <c r="H138" s="42">
        <f t="shared" si="15"/>
        <v>7.6193316470621255</v>
      </c>
      <c r="I138" s="42">
        <f>-DEGREES(ASIN(G138/H138))</f>
        <v>53.53981570732651</v>
      </c>
      <c r="J138" s="42">
        <f>+C138-I138</f>
        <v>36.46018429267349</v>
      </c>
      <c r="K138" s="41">
        <f t="shared" si="5"/>
        <v>0.02376738132746817</v>
      </c>
      <c r="L138" s="70">
        <f t="shared" si="6"/>
        <v>0.0031193525138956822</v>
      </c>
      <c r="M138" s="71">
        <f t="shared" si="7"/>
        <v>0.02006021604289487</v>
      </c>
      <c r="N138" s="41">
        <f t="shared" si="8"/>
        <v>0.01625109612944989</v>
      </c>
      <c r="O138" s="34">
        <f t="shared" si="9"/>
        <v>1.2343915686119271</v>
      </c>
      <c r="P138" s="34">
        <f t="shared" si="17"/>
        <v>0.9921260273290873</v>
      </c>
      <c r="Q138" s="42">
        <f t="shared" si="10"/>
        <v>44.245968505064845</v>
      </c>
      <c r="R138" s="42">
        <f t="shared" si="11"/>
        <v>7.820474933270211</v>
      </c>
      <c r="S138" s="42">
        <f t="shared" si="12"/>
        <v>6.2897735143945885</v>
      </c>
      <c r="T138" s="42">
        <f t="shared" si="13"/>
        <v>4.647426956879264</v>
      </c>
      <c r="U138" s="50">
        <f t="shared" si="14"/>
        <v>59.58679215412179</v>
      </c>
    </row>
    <row r="139" spans="2:21" ht="12.75">
      <c r="B139" s="5">
        <f>SUM(B120:B138)</f>
        <v>19</v>
      </c>
      <c r="L139" s="72">
        <f>MIN(L120:L138)</f>
        <v>0.0026328052081352467</v>
      </c>
      <c r="R139" s="43"/>
      <c r="S139" s="43">
        <f>SUM(S120:S138)</f>
        <v>12.24376857537912</v>
      </c>
      <c r="T139" s="43">
        <f>SUM(T120:T138)</f>
        <v>69.39778985070986</v>
      </c>
      <c r="U139" s="50">
        <f>SUM(U120:U138)</f>
        <v>686.537823696543</v>
      </c>
    </row>
    <row r="140" ht="12.75">
      <c r="S140" s="43">
        <f>SQRT(S139^2+T139^2)</f>
        <v>70.46958993133654</v>
      </c>
    </row>
    <row r="141" spans="2:20" ht="12.75">
      <c r="B141" s="2" t="s">
        <v>170</v>
      </c>
      <c r="D141" s="2" t="s">
        <v>184</v>
      </c>
      <c r="E141" s="2" t="s">
        <v>183</v>
      </c>
      <c r="H141" s="15">
        <f>+U139/C114</f>
        <v>70.48240783958765</v>
      </c>
      <c r="I141" s="2" t="s">
        <v>13</v>
      </c>
      <c r="K141" s="2" t="s">
        <v>207</v>
      </c>
      <c r="S141" s="2">
        <f>DEGREES(ATAN(S139/T139))</f>
        <v>10.005657637425454</v>
      </c>
      <c r="T141" s="2" t="s">
        <v>169</v>
      </c>
    </row>
    <row r="142" spans="4:9" ht="12.75">
      <c r="D142" s="2" t="s">
        <v>180</v>
      </c>
      <c r="E142" s="2" t="s">
        <v>178</v>
      </c>
      <c r="H142" s="15">
        <f>+S139/SIN(RADIANS(C10))</f>
        <v>70.50905307433486</v>
      </c>
      <c r="I142" s="2" t="s">
        <v>13</v>
      </c>
    </row>
    <row r="143" spans="4:13" ht="12.75">
      <c r="D143" s="4" t="s">
        <v>179</v>
      </c>
      <c r="E143" s="4" t="s">
        <v>181</v>
      </c>
      <c r="F143" s="4"/>
      <c r="G143" s="4"/>
      <c r="H143" s="73">
        <f>+T139/COS(RADIANS(C10))</f>
        <v>70.46836262046526</v>
      </c>
      <c r="I143" s="4" t="s">
        <v>13</v>
      </c>
      <c r="L143" s="2" t="s">
        <v>208</v>
      </c>
      <c r="M143" s="2">
        <v>0.857</v>
      </c>
    </row>
    <row r="144" spans="7:14" ht="12.75">
      <c r="G144" s="49" t="s">
        <v>182</v>
      </c>
      <c r="H144" s="95">
        <f>MAX(H141:H143)-MIN(H141:H143)</f>
        <v>0.04069045386960113</v>
      </c>
      <c r="I144" s="2" t="str">
        <f>IF(H144&gt;1,"Find New IC"," ")</f>
        <v> </v>
      </c>
      <c r="L144" s="2" t="s">
        <v>195</v>
      </c>
      <c r="M144" s="2">
        <f>+C158</f>
        <v>11</v>
      </c>
      <c r="N144" s="2" t="s">
        <v>8</v>
      </c>
    </row>
    <row r="145" spans="12:13" ht="12.75">
      <c r="L145" s="2" t="s">
        <v>0</v>
      </c>
      <c r="M145" s="2">
        <f>+C103</f>
        <v>4</v>
      </c>
    </row>
    <row r="146" spans="6:14" ht="12.75">
      <c r="F146" s="2" t="s">
        <v>185</v>
      </c>
      <c r="G146" s="15">
        <f>MIN(H141:H143)</f>
        <v>70.46836262046526</v>
      </c>
      <c r="H146" s="2" t="s">
        <v>71</v>
      </c>
      <c r="L146" s="49" t="s">
        <v>209</v>
      </c>
      <c r="M146" s="15">
        <f>+G146</f>
        <v>70.46836262046526</v>
      </c>
      <c r="N146" s="2" t="s">
        <v>71</v>
      </c>
    </row>
    <row r="147" spans="12:13" ht="12.75">
      <c r="L147" s="2" t="s">
        <v>210</v>
      </c>
      <c r="M147" s="74">
        <f>+M146/M143/M145/M144</f>
        <v>1.8687907770357817</v>
      </c>
    </row>
    <row r="148" spans="2:10" ht="12.75">
      <c r="B148" s="4" t="s">
        <v>114</v>
      </c>
      <c r="C148" s="4"/>
      <c r="D148" s="4"/>
      <c r="E148" s="4"/>
      <c r="G148" s="4" t="s">
        <v>148</v>
      </c>
      <c r="H148" s="4"/>
      <c r="I148" s="4"/>
      <c r="J148" s="4"/>
    </row>
    <row r="149" spans="2:10" ht="12.75">
      <c r="B149" s="75" t="s">
        <v>186</v>
      </c>
      <c r="C149" s="32"/>
      <c r="D149" s="32">
        <v>0.75</v>
      </c>
      <c r="E149" s="32"/>
      <c r="G149" s="14" t="s">
        <v>187</v>
      </c>
      <c r="H149" s="32"/>
      <c r="I149" s="65">
        <v>2</v>
      </c>
      <c r="J149" s="32"/>
    </row>
    <row r="150" spans="2:10" ht="15.75">
      <c r="B150" s="75" t="s">
        <v>188</v>
      </c>
      <c r="D150" s="15">
        <f>+D149*G146</f>
        <v>52.85127196534894</v>
      </c>
      <c r="E150" s="2" t="s">
        <v>189</v>
      </c>
      <c r="G150" s="2" t="s">
        <v>191</v>
      </c>
      <c r="I150" s="15">
        <f>+G146/I149</f>
        <v>35.23418131023263</v>
      </c>
      <c r="J150" s="2" t="s">
        <v>189</v>
      </c>
    </row>
    <row r="151" spans="2:10" ht="15.75">
      <c r="B151" s="55" t="s">
        <v>190</v>
      </c>
      <c r="D151" s="59">
        <f>+E36/D150</f>
        <v>0.9838930656975093</v>
      </c>
      <c r="E151" s="2" t="str">
        <f>IF(D151&lt;=1,"Good","No Good")</f>
        <v>Good</v>
      </c>
      <c r="G151" s="2" t="s">
        <v>192</v>
      </c>
      <c r="I151" s="59">
        <f>+K36/I150</f>
        <v>0.9933535759446007</v>
      </c>
      <c r="J151" s="2" t="str">
        <f>IF(I151&lt;=1,"Good","No Good")</f>
        <v>Good</v>
      </c>
    </row>
    <row r="154" ht="12.75">
      <c r="A154" s="3" t="s">
        <v>193</v>
      </c>
    </row>
    <row r="156" ht="12.75">
      <c r="A156" s="2" t="s">
        <v>194</v>
      </c>
    </row>
    <row r="158" spans="2:6" ht="12.75">
      <c r="B158" s="2" t="s">
        <v>203</v>
      </c>
      <c r="C158" s="2">
        <f>+C47</f>
        <v>11</v>
      </c>
      <c r="D158" s="2" t="s">
        <v>8</v>
      </c>
      <c r="E158" s="2" t="s">
        <v>52</v>
      </c>
      <c r="F158" s="16">
        <f>+C159/C158</f>
        <v>0.738492081371451</v>
      </c>
    </row>
    <row r="159" spans="2:6" ht="12.75">
      <c r="B159" s="2" t="s">
        <v>202</v>
      </c>
      <c r="C159" s="16">
        <f>+C112</f>
        <v>8.123412895085961</v>
      </c>
      <c r="D159" s="2" t="s">
        <v>8</v>
      </c>
      <c r="E159" s="2" t="s">
        <v>13</v>
      </c>
      <c r="F159" s="16">
        <f>+C160/C158</f>
        <v>0.36363636363636365</v>
      </c>
    </row>
    <row r="160" spans="2:4" ht="12.75">
      <c r="B160" s="2" t="s">
        <v>201</v>
      </c>
      <c r="C160" s="2">
        <f>+C71</f>
        <v>4</v>
      </c>
      <c r="D160" s="2" t="s">
        <v>8</v>
      </c>
    </row>
    <row r="161" spans="2:3" ht="12.75">
      <c r="B161" s="2" t="s">
        <v>200</v>
      </c>
      <c r="C161" s="2">
        <v>0.857</v>
      </c>
    </row>
    <row r="163" ht="12.75">
      <c r="B163" s="2" t="s">
        <v>198</v>
      </c>
    </row>
    <row r="164" spans="2:9" ht="12.75">
      <c r="B164" s="2" t="s">
        <v>196</v>
      </c>
      <c r="C164" s="2">
        <v>0</v>
      </c>
      <c r="D164" s="2" t="s">
        <v>169</v>
      </c>
      <c r="G164" s="2" t="s">
        <v>196</v>
      </c>
      <c r="H164" s="2">
        <v>15</v>
      </c>
      <c r="I164" s="2" t="s">
        <v>169</v>
      </c>
    </row>
    <row r="165" spans="4:9" ht="12.75">
      <c r="D165" s="5" t="s">
        <v>13</v>
      </c>
      <c r="I165" s="5" t="s">
        <v>13</v>
      </c>
    </row>
    <row r="166" spans="3:10" ht="12.75">
      <c r="C166" s="84">
        <v>0.3</v>
      </c>
      <c r="D166" s="43">
        <f>+F159</f>
        <v>0.36363636363636365</v>
      </c>
      <c r="E166" s="84">
        <v>0.4</v>
      </c>
      <c r="H166" s="84">
        <v>0.3</v>
      </c>
      <c r="I166" s="43">
        <f>+F159</f>
        <v>0.36363636363636365</v>
      </c>
      <c r="J166" s="84">
        <v>0.4</v>
      </c>
    </row>
    <row r="167" spans="2:10" ht="12.75">
      <c r="B167" s="84">
        <v>0.7</v>
      </c>
      <c r="C167" s="20">
        <v>1.66</v>
      </c>
      <c r="D167" s="38">
        <f>+(E167-C167)/(E166-C166)*(D166-C166)+C167</f>
        <v>1.8445454545454545</v>
      </c>
      <c r="E167" s="85">
        <v>1.95</v>
      </c>
      <c r="G167" s="84">
        <v>0.7</v>
      </c>
      <c r="H167" s="20">
        <v>1.68</v>
      </c>
      <c r="I167" s="38">
        <f>+(J167-H167)/(J166-H166)*(I166-H166)+H167</f>
        <v>1.8645454545454545</v>
      </c>
      <c r="J167" s="85">
        <v>1.97</v>
      </c>
    </row>
    <row r="168" spans="1:10" ht="12.75">
      <c r="A168" s="49" t="s">
        <v>52</v>
      </c>
      <c r="B168" s="43">
        <f>+F158</f>
        <v>0.738492081371451</v>
      </c>
      <c r="C168" s="76"/>
      <c r="D168" s="77">
        <f>(D169-D167)/(B169-B167)*(B168-B167)+D167</f>
        <v>1.6692315202991188</v>
      </c>
      <c r="E168" s="78"/>
      <c r="F168" s="49" t="s">
        <v>52</v>
      </c>
      <c r="G168" s="43">
        <f>+F158</f>
        <v>0.738492081371451</v>
      </c>
      <c r="H168" s="76"/>
      <c r="I168" s="77">
        <f>(I169-I167)/(G169-G167)*(G168-G167)+I167</f>
        <v>1.7903607159022945</v>
      </c>
      <c r="J168" s="78"/>
    </row>
    <row r="169" spans="2:10" ht="12.75">
      <c r="B169" s="84">
        <v>0.8</v>
      </c>
      <c r="C169" s="22">
        <v>1.23</v>
      </c>
      <c r="D169" s="42">
        <f>+(E169-C169)/(E166-C166)*(D166-C166)+C169</f>
        <v>1.3890909090909092</v>
      </c>
      <c r="E169" s="24">
        <v>1.48</v>
      </c>
      <c r="G169" s="84">
        <v>0.8</v>
      </c>
      <c r="H169" s="22">
        <v>1.5</v>
      </c>
      <c r="I169" s="42">
        <f>+(J169-H169)/(J166-H166)*(I166-H166)+H169</f>
        <v>1.6718181818181819</v>
      </c>
      <c r="J169" s="24">
        <v>1.77</v>
      </c>
    </row>
    <row r="171" ht="12.75">
      <c r="B171" s="2" t="s">
        <v>197</v>
      </c>
    </row>
    <row r="173" spans="3:4" ht="12.75">
      <c r="C173" s="5" t="s">
        <v>9</v>
      </c>
      <c r="D173" s="5" t="s">
        <v>119</v>
      </c>
    </row>
    <row r="174" spans="3:4" ht="12.75">
      <c r="C174" s="6">
        <f>+C164</f>
        <v>0</v>
      </c>
      <c r="D174" s="79">
        <f>+D168</f>
        <v>1.6692315202991188</v>
      </c>
    </row>
    <row r="175" spans="3:5" ht="12.75">
      <c r="C175" s="76">
        <f>+C10</f>
        <v>10</v>
      </c>
      <c r="D175" s="80">
        <f>(D176-D174)/(C176-C174)*(C175-C174)+D174</f>
        <v>1.7499843173679026</v>
      </c>
      <c r="E175" s="2" t="s">
        <v>199</v>
      </c>
    </row>
    <row r="176" spans="3:4" ht="12.75">
      <c r="C176" s="9">
        <f>+H164</f>
        <v>15</v>
      </c>
      <c r="D176" s="81">
        <f>+I168</f>
        <v>1.7903607159022945</v>
      </c>
    </row>
    <row r="178" ht="12.75">
      <c r="B178" s="2" t="s">
        <v>284</v>
      </c>
    </row>
    <row r="180" spans="2:10" ht="12.75">
      <c r="B180" s="4" t="s">
        <v>114</v>
      </c>
      <c r="C180" s="4"/>
      <c r="D180" s="4"/>
      <c r="E180" s="4"/>
      <c r="G180" s="4" t="s">
        <v>148</v>
      </c>
      <c r="H180" s="4"/>
      <c r="I180" s="4"/>
      <c r="J180" s="4"/>
    </row>
    <row r="181" spans="2:10" ht="12.75">
      <c r="B181" s="75" t="s">
        <v>186</v>
      </c>
      <c r="C181" s="32"/>
      <c r="D181" s="32">
        <v>0.75</v>
      </c>
      <c r="E181" s="32"/>
      <c r="G181" s="14" t="s">
        <v>187</v>
      </c>
      <c r="H181" s="32"/>
      <c r="I181" s="65">
        <v>2</v>
      </c>
      <c r="J181" s="32"/>
    </row>
    <row r="182" spans="2:10" ht="12.75">
      <c r="B182" s="55" t="s">
        <v>2</v>
      </c>
      <c r="D182" s="15">
        <f>+E36</f>
        <v>52</v>
      </c>
      <c r="E182" s="2" t="s">
        <v>71</v>
      </c>
      <c r="G182" s="2" t="s">
        <v>204</v>
      </c>
      <c r="I182" s="15">
        <f>+K36</f>
        <v>35</v>
      </c>
      <c r="J182" s="2" t="s">
        <v>71</v>
      </c>
    </row>
    <row r="183" spans="2:10" ht="12.75">
      <c r="B183" s="55" t="s">
        <v>205</v>
      </c>
      <c r="D183" s="16">
        <f>+D182/D181/D175/C161/C158</f>
        <v>4.202758318498495</v>
      </c>
      <c r="E183" s="12" t="s">
        <v>73</v>
      </c>
      <c r="G183" s="2" t="s">
        <v>205</v>
      </c>
      <c r="I183" s="16">
        <f>+I181*I182/D175/C161/C158</f>
        <v>4.243169456176365</v>
      </c>
      <c r="J183" s="12" t="s">
        <v>73</v>
      </c>
    </row>
    <row r="184" spans="2:10" ht="12.75">
      <c r="B184" s="56" t="s">
        <v>142</v>
      </c>
      <c r="C184" s="82"/>
      <c r="D184" s="86" t="s">
        <v>206</v>
      </c>
      <c r="E184" s="60"/>
      <c r="G184" s="56" t="s">
        <v>142</v>
      </c>
      <c r="H184" s="82"/>
      <c r="I184" s="86" t="s">
        <v>206</v>
      </c>
      <c r="J184" s="60"/>
    </row>
    <row r="185" spans="2:9" ht="12.75">
      <c r="B185" s="55"/>
      <c r="D185" s="15"/>
      <c r="I185" s="15"/>
    </row>
  </sheetData>
  <sheetProtection password="CADF" sheet="1"/>
  <conditionalFormatting sqref="D151 I151 D95 L95">
    <cfRule type="cellIs" priority="4" dxfId="4" operator="lessThanOrEqual" stopIfTrue="1">
      <formula>1</formula>
    </cfRule>
    <cfRule type="cellIs" priority="5" dxfId="3" operator="greaterThan" stopIfTrue="1">
      <formula>1</formula>
    </cfRule>
  </conditionalFormatting>
  <conditionalFormatting sqref="E111">
    <cfRule type="cellIs" priority="2" dxfId="2" operator="notEqual" stopIfTrue="1">
      <formula>"Good IC"</formula>
    </cfRule>
    <cfRule type="cellIs" priority="3" dxfId="1" operator="equal" stopIfTrue="1">
      <formula>"Good IC"</formula>
    </cfRule>
  </conditionalFormatting>
  <conditionalFormatting sqref="H144">
    <cfRule type="cellIs" priority="1" dxfId="0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r:id="rId3"/>
  <legacyDrawing r:id="rId2"/>
  <oleObjects>
    <oleObject progId="AutoCAD.Drawing.16" shapeId="2251479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1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8" ht="12.75">
      <c r="A1" s="2" t="s">
        <v>50</v>
      </c>
      <c r="H1" s="2" t="s">
        <v>286</v>
      </c>
    </row>
    <row r="2" spans="1:8" ht="12.75">
      <c r="A2" s="3" t="s">
        <v>285</v>
      </c>
      <c r="H2" s="2" t="s">
        <v>259</v>
      </c>
    </row>
    <row r="11" spans="2:4" ht="12.75">
      <c r="B11" s="87" t="s">
        <v>117</v>
      </c>
      <c r="C11" s="128">
        <v>2</v>
      </c>
      <c r="D11" s="87" t="s">
        <v>8</v>
      </c>
    </row>
    <row r="12" spans="2:4" ht="12.75">
      <c r="B12" s="87" t="s">
        <v>118</v>
      </c>
      <c r="C12" s="128">
        <v>9</v>
      </c>
      <c r="D12" s="87" t="s">
        <v>8</v>
      </c>
    </row>
    <row r="13" spans="2:4" ht="12.75">
      <c r="B13" s="87" t="s">
        <v>308</v>
      </c>
      <c r="C13" s="128">
        <v>0.25</v>
      </c>
      <c r="D13" s="87" t="s">
        <v>8</v>
      </c>
    </row>
    <row r="14" spans="2:4" ht="12.75">
      <c r="B14" s="87" t="s">
        <v>287</v>
      </c>
      <c r="C14" s="128">
        <v>4</v>
      </c>
      <c r="D14" s="104" t="s">
        <v>288</v>
      </c>
    </row>
    <row r="15" spans="2:3" ht="12.75">
      <c r="B15" s="26" t="s">
        <v>311</v>
      </c>
      <c r="C15" s="120"/>
    </row>
    <row r="16" spans="2:4" ht="12.75">
      <c r="B16" s="2" t="s">
        <v>139</v>
      </c>
      <c r="C16" s="26">
        <v>70</v>
      </c>
      <c r="D16" s="2" t="s">
        <v>5</v>
      </c>
    </row>
    <row r="18" ht="12.75">
      <c r="B18" s="2" t="s">
        <v>3</v>
      </c>
    </row>
    <row r="19" spans="2:4" ht="12.75">
      <c r="B19" s="2" t="s">
        <v>314</v>
      </c>
      <c r="C19" s="26">
        <v>3</v>
      </c>
      <c r="D19" s="2" t="s">
        <v>316</v>
      </c>
    </row>
    <row r="20" spans="2:4" ht="12.75">
      <c r="B20" s="2" t="s">
        <v>315</v>
      </c>
      <c r="C20" s="26">
        <v>5</v>
      </c>
      <c r="D20" s="2" t="s">
        <v>316</v>
      </c>
    </row>
    <row r="34" ht="12.75">
      <c r="A34" s="3" t="s">
        <v>12</v>
      </c>
    </row>
    <row r="36" spans="2:4" ht="12.75">
      <c r="B36" s="3" t="s">
        <v>325</v>
      </c>
      <c r="D36" s="87" t="s">
        <v>326</v>
      </c>
    </row>
    <row r="37" ht="12.75">
      <c r="A37" s="3"/>
    </row>
    <row r="38" spans="1:3" ht="15.75">
      <c r="A38" s="3"/>
      <c r="C38" s="87" t="s">
        <v>332</v>
      </c>
    </row>
    <row r="39" spans="1:10" ht="12.75">
      <c r="A39" s="3"/>
      <c r="D39" s="108" t="s">
        <v>114</v>
      </c>
      <c r="E39" s="108" t="s">
        <v>148</v>
      </c>
      <c r="J39" s="87"/>
    </row>
    <row r="40" spans="1:10" ht="12.75">
      <c r="A40" s="3"/>
      <c r="C40" s="87" t="s">
        <v>151</v>
      </c>
      <c r="D40" s="118">
        <f>+C93</f>
        <v>41.469206896551725</v>
      </c>
      <c r="E40" s="119">
        <f>+G93</f>
        <v>40.0869</v>
      </c>
      <c r="F40" s="116" t="s">
        <v>71</v>
      </c>
      <c r="J40" s="87"/>
    </row>
    <row r="41" spans="1:10" ht="12.75">
      <c r="A41" s="3"/>
      <c r="C41" s="87" t="s">
        <v>152</v>
      </c>
      <c r="D41" s="117">
        <f>+C115</f>
        <v>63.70344827586207</v>
      </c>
      <c r="E41" s="117">
        <f>+G115</f>
        <v>61.58</v>
      </c>
      <c r="F41" s="116"/>
      <c r="J41" s="87"/>
    </row>
    <row r="42" spans="1:10" ht="12.75">
      <c r="A42" s="3"/>
      <c r="J42" s="87"/>
    </row>
    <row r="43" spans="1:10" ht="12.75">
      <c r="A43" s="3"/>
      <c r="B43" s="2" t="s">
        <v>313</v>
      </c>
      <c r="J43" s="87"/>
    </row>
    <row r="44" spans="1:10" ht="12.75">
      <c r="A44" s="3"/>
      <c r="J44" s="87"/>
    </row>
    <row r="45" spans="1:10" ht="12.75">
      <c r="A45" s="3"/>
      <c r="C45" s="87" t="s">
        <v>333</v>
      </c>
      <c r="J45" s="87"/>
    </row>
    <row r="46" spans="1:10" ht="15.75">
      <c r="A46" s="3"/>
      <c r="D46" s="121" t="s">
        <v>317</v>
      </c>
      <c r="E46" s="2">
        <f>1.2*C19/(C19+C20)+1.6*C20/(C19+C20)</f>
        <v>1.45</v>
      </c>
      <c r="F46" s="87" t="s">
        <v>318</v>
      </c>
      <c r="J46" s="87"/>
    </row>
    <row r="47" spans="1:10" ht="15.75">
      <c r="A47" s="3"/>
      <c r="D47" s="121" t="s">
        <v>319</v>
      </c>
      <c r="E47" s="16">
        <v>1</v>
      </c>
      <c r="F47" s="87" t="s">
        <v>318</v>
      </c>
      <c r="J47" s="87"/>
    </row>
    <row r="48" spans="1:10" ht="12.75">
      <c r="A48" s="3"/>
      <c r="J48" s="87"/>
    </row>
    <row r="49" spans="1:10" ht="12.75">
      <c r="A49" s="3" t="s">
        <v>151</v>
      </c>
      <c r="J49" s="87"/>
    </row>
    <row r="50" spans="1:10" ht="12.75">
      <c r="A50" s="3"/>
      <c r="J50" s="87"/>
    </row>
    <row r="51" ht="12.75">
      <c r="B51" s="87" t="s">
        <v>309</v>
      </c>
    </row>
    <row r="53" spans="2:7" ht="12.75">
      <c r="B53" s="2" t="s">
        <v>54</v>
      </c>
      <c r="C53" s="5" t="s">
        <v>55</v>
      </c>
      <c r="D53" s="5" t="s">
        <v>85</v>
      </c>
      <c r="E53" s="5" t="s">
        <v>86</v>
      </c>
      <c r="F53" s="5" t="s">
        <v>87</v>
      </c>
      <c r="G53" s="5" t="s">
        <v>88</v>
      </c>
    </row>
    <row r="54" spans="3:7" ht="12.75">
      <c r="C54" s="29" t="s">
        <v>59</v>
      </c>
      <c r="D54" s="29" t="s">
        <v>59</v>
      </c>
      <c r="E54" s="29" t="s">
        <v>59</v>
      </c>
      <c r="F54" s="29" t="s">
        <v>64</v>
      </c>
      <c r="G54" s="29" t="s">
        <v>64</v>
      </c>
    </row>
    <row r="55" spans="2:7" ht="12.75">
      <c r="B55" s="105" t="s">
        <v>289</v>
      </c>
      <c r="C55" s="7">
        <f>+C12</f>
        <v>9</v>
      </c>
      <c r="D55" s="7">
        <f>-C13/2</f>
        <v>-0.125</v>
      </c>
      <c r="E55" s="7">
        <f>-C12/2</f>
        <v>-4.5</v>
      </c>
      <c r="F55" s="7">
        <f>+C55*D55</f>
        <v>-1.125</v>
      </c>
      <c r="G55" s="7">
        <f>+C55*E55</f>
        <v>-40.5</v>
      </c>
    </row>
    <row r="56" spans="2:7" ht="12.75">
      <c r="B56" s="106" t="s">
        <v>290</v>
      </c>
      <c r="C56" s="10">
        <f>+C55</f>
        <v>9</v>
      </c>
      <c r="D56" s="10">
        <f>-D55</f>
        <v>0.125</v>
      </c>
      <c r="E56" s="10">
        <f>+E55</f>
        <v>-4.5</v>
      </c>
      <c r="F56" s="10">
        <f>+C56*D56</f>
        <v>1.125</v>
      </c>
      <c r="G56" s="10">
        <f>+C56*E56</f>
        <v>-40.5</v>
      </c>
    </row>
    <row r="57" spans="2:7" ht="12.75">
      <c r="B57" s="2" t="s">
        <v>89</v>
      </c>
      <c r="C57" s="5">
        <f>SUM(C55:C56)</f>
        <v>18</v>
      </c>
      <c r="D57" s="35">
        <f>+F57/C57</f>
        <v>0</v>
      </c>
      <c r="E57" s="35">
        <f>+G57/C57</f>
        <v>-4.5</v>
      </c>
      <c r="F57" s="5">
        <f>SUM(F55:F56)</f>
        <v>0</v>
      </c>
      <c r="G57" s="5">
        <f>SUM(G55:G56)</f>
        <v>-81</v>
      </c>
    </row>
    <row r="59" ht="12.75">
      <c r="B59" s="107" t="s">
        <v>291</v>
      </c>
    </row>
    <row r="61" spans="2:4" ht="12.75">
      <c r="B61" s="107" t="s">
        <v>15</v>
      </c>
      <c r="C61" s="13">
        <f>0.707*C14/16</f>
        <v>0.17675</v>
      </c>
      <c r="D61" s="87" t="s">
        <v>8</v>
      </c>
    </row>
    <row r="62" spans="2:4" ht="12.75">
      <c r="B62" s="87" t="s">
        <v>62</v>
      </c>
      <c r="C62" s="13">
        <f>+C61</f>
        <v>0.17675</v>
      </c>
      <c r="D62" s="87" t="s">
        <v>292</v>
      </c>
    </row>
    <row r="63" spans="2:4" ht="12.75">
      <c r="B63" s="87"/>
      <c r="C63" s="13"/>
      <c r="D63" s="87"/>
    </row>
    <row r="64" ht="12.75">
      <c r="F64" s="87" t="s">
        <v>293</v>
      </c>
    </row>
    <row r="65" spans="2:10" ht="12.75">
      <c r="B65" s="2" t="s">
        <v>54</v>
      </c>
      <c r="C65" s="108" t="s">
        <v>294</v>
      </c>
      <c r="D65" s="87" t="s">
        <v>295</v>
      </c>
      <c r="E65" s="5" t="s">
        <v>92</v>
      </c>
      <c r="F65" s="5" t="s">
        <v>85</v>
      </c>
      <c r="G65" s="5" t="s">
        <v>86</v>
      </c>
      <c r="H65" s="76" t="s">
        <v>93</v>
      </c>
      <c r="I65" s="11" t="s">
        <v>96</v>
      </c>
      <c r="J65" s="11" t="s">
        <v>97</v>
      </c>
    </row>
    <row r="66" spans="3:10" ht="12.75">
      <c r="C66" s="29" t="s">
        <v>59</v>
      </c>
      <c r="D66" s="29" t="s">
        <v>59</v>
      </c>
      <c r="E66" s="7" t="s">
        <v>64</v>
      </c>
      <c r="F66" s="7" t="s">
        <v>59</v>
      </c>
      <c r="G66" s="7" t="s">
        <v>59</v>
      </c>
      <c r="H66" s="6" t="s">
        <v>102</v>
      </c>
      <c r="I66" s="7" t="s">
        <v>102</v>
      </c>
      <c r="J66" s="7" t="s">
        <v>102</v>
      </c>
    </row>
    <row r="67" spans="2:10" ht="12.75">
      <c r="B67" s="105" t="s">
        <v>289</v>
      </c>
      <c r="C67" s="7">
        <f>+C55</f>
        <v>9</v>
      </c>
      <c r="D67" s="35">
        <f>+C61</f>
        <v>0.17675</v>
      </c>
      <c r="E67" s="31">
        <f>+C67*D67</f>
        <v>1.5907499999999999</v>
      </c>
      <c r="F67" s="31">
        <f>+D55-D57</f>
        <v>-0.125</v>
      </c>
      <c r="G67" s="79">
        <f>+E55-E57</f>
        <v>0</v>
      </c>
      <c r="H67" s="109">
        <f>+D67*(C67^3)/12</f>
        <v>10.737562500000001</v>
      </c>
      <c r="I67" s="31">
        <f>+E67*G67^2</f>
        <v>0</v>
      </c>
      <c r="J67" s="46">
        <f>+H67+I67</f>
        <v>10.737562500000001</v>
      </c>
    </row>
    <row r="68" spans="2:10" ht="12.75">
      <c r="B68" s="106" t="s">
        <v>290</v>
      </c>
      <c r="C68" s="10">
        <f>+C67</f>
        <v>9</v>
      </c>
      <c r="D68" s="34">
        <f>+D67</f>
        <v>0.17675</v>
      </c>
      <c r="E68" s="34">
        <f>+C68*D68</f>
        <v>1.5907499999999999</v>
      </c>
      <c r="F68" s="34">
        <f>+D56-D57</f>
        <v>0.125</v>
      </c>
      <c r="G68" s="81">
        <f>+E55-E56</f>
        <v>0</v>
      </c>
      <c r="H68" s="112">
        <f>+D68*(C68^3)/12</f>
        <v>10.737562500000001</v>
      </c>
      <c r="I68" s="34">
        <f>+E68*G68^2</f>
        <v>0</v>
      </c>
      <c r="J68" s="48">
        <f>+H68+I68</f>
        <v>10.737562500000001</v>
      </c>
    </row>
    <row r="69" spans="2:10" ht="12.75">
      <c r="B69" s="2" t="s">
        <v>89</v>
      </c>
      <c r="C69" s="5"/>
      <c r="E69" s="43">
        <f>SUM(E67:E68)</f>
        <v>3.1814999999999998</v>
      </c>
      <c r="F69" s="58"/>
      <c r="G69" s="5"/>
      <c r="H69" s="43"/>
      <c r="I69" s="5"/>
      <c r="J69" s="50">
        <f>SUM(J67:J68)</f>
        <v>21.475125000000002</v>
      </c>
    </row>
    <row r="71" spans="2:7" ht="12.75">
      <c r="B71" s="87" t="s">
        <v>310</v>
      </c>
      <c r="F71" s="2">
        <v>1</v>
      </c>
      <c r="G71" s="87" t="s">
        <v>296</v>
      </c>
    </row>
    <row r="72" spans="2:7" ht="12.75">
      <c r="B72" s="87"/>
      <c r="E72" s="87" t="s">
        <v>297</v>
      </c>
      <c r="F72" s="2">
        <f>+F71*C11</f>
        <v>2</v>
      </c>
      <c r="G72" s="87" t="s">
        <v>128</v>
      </c>
    </row>
    <row r="74" spans="3:7" ht="12.75">
      <c r="C74" s="87" t="s">
        <v>121</v>
      </c>
      <c r="E74" s="87" t="s">
        <v>122</v>
      </c>
      <c r="G74" s="87" t="s">
        <v>130</v>
      </c>
    </row>
    <row r="75" spans="3:8" ht="12.75">
      <c r="C75" s="108" t="s">
        <v>298</v>
      </c>
      <c r="D75" s="108" t="s">
        <v>299</v>
      </c>
      <c r="E75" s="122" t="s">
        <v>298</v>
      </c>
      <c r="F75" s="123" t="s">
        <v>299</v>
      </c>
      <c r="G75" s="108" t="s">
        <v>136</v>
      </c>
      <c r="H75" s="108" t="s">
        <v>9</v>
      </c>
    </row>
    <row r="76" spans="3:8" ht="12.75">
      <c r="C76" s="124" t="s">
        <v>61</v>
      </c>
      <c r="D76" s="124" t="s">
        <v>61</v>
      </c>
      <c r="E76" s="125" t="s">
        <v>61</v>
      </c>
      <c r="F76" s="126" t="s">
        <v>61</v>
      </c>
      <c r="G76" s="124" t="s">
        <v>61</v>
      </c>
      <c r="H76" s="124" t="s">
        <v>60</v>
      </c>
    </row>
    <row r="77" spans="3:8" ht="12.75">
      <c r="C77" s="35">
        <v>0</v>
      </c>
      <c r="D77" s="35">
        <f>+F71/E69</f>
        <v>0.31431714600031435</v>
      </c>
      <c r="E77" s="111">
        <f>+F72*(-E57)/J69</f>
        <v>0.41908952800041904</v>
      </c>
      <c r="F77" s="110">
        <v>0</v>
      </c>
      <c r="G77" s="35">
        <f>SQRT((C77+E77)^2+(D77+F77)^2)</f>
        <v>0.5238619100005238</v>
      </c>
      <c r="H77" s="50">
        <f>ATAN(E77/D77)*180/PI()</f>
        <v>53.13010235415597</v>
      </c>
    </row>
    <row r="79" spans="2:6" ht="12.75">
      <c r="B79" s="87" t="s">
        <v>300</v>
      </c>
      <c r="E79" s="13">
        <f>+G77*C62</f>
        <v>0.09259259259259259</v>
      </c>
      <c r="F79" s="87" t="s">
        <v>301</v>
      </c>
    </row>
    <row r="80" spans="2:5" ht="12.75">
      <c r="B80" s="87" t="s">
        <v>302</v>
      </c>
      <c r="E80" s="13">
        <f>+F71/E79</f>
        <v>10.8</v>
      </c>
    </row>
    <row r="82" spans="2:8" ht="12.75">
      <c r="B82" s="87" t="s">
        <v>303</v>
      </c>
      <c r="H82" s="2">
        <f>0.6*(1+0.5*(SIN(H77*PI()/180)^1.5))</f>
        <v>0.8146625258399798</v>
      </c>
    </row>
    <row r="83" spans="2:8" ht="15.75">
      <c r="B83" s="2" t="s">
        <v>312</v>
      </c>
      <c r="D83" s="2">
        <f>0.6*C16</f>
        <v>42</v>
      </c>
      <c r="E83" s="2" t="s">
        <v>5</v>
      </c>
      <c r="H83" s="2">
        <f>+H82*C16</f>
        <v>57.02637680879859</v>
      </c>
    </row>
    <row r="84" spans="2:8" ht="15.75">
      <c r="B84" s="87" t="s">
        <v>304</v>
      </c>
      <c r="D84" s="16">
        <f>D83*C62</f>
        <v>7.4235</v>
      </c>
      <c r="E84" s="87" t="s">
        <v>305</v>
      </c>
      <c r="H84" s="2">
        <f>+H83*C62</f>
        <v>10.07941210095515</v>
      </c>
    </row>
    <row r="86" ht="12.75">
      <c r="B86" s="87" t="s">
        <v>306</v>
      </c>
    </row>
    <row r="87" spans="2:8" ht="15.75">
      <c r="B87" s="87" t="s">
        <v>307</v>
      </c>
      <c r="E87" s="16">
        <f>+D84*E80</f>
        <v>80.1738</v>
      </c>
      <c r="F87" s="87" t="s">
        <v>71</v>
      </c>
      <c r="H87" s="2">
        <f>+H84*E80</f>
        <v>108.85765069031562</v>
      </c>
    </row>
    <row r="89" spans="2:8" ht="12.75">
      <c r="B89" s="106" t="s">
        <v>114</v>
      </c>
      <c r="C89" s="4"/>
      <c r="D89" s="4"/>
      <c r="F89" s="106" t="s">
        <v>148</v>
      </c>
      <c r="G89" s="4"/>
      <c r="H89" s="4"/>
    </row>
    <row r="90" spans="2:7" ht="12.75">
      <c r="B90" s="2" t="s">
        <v>140</v>
      </c>
      <c r="C90" s="2">
        <v>0.75</v>
      </c>
      <c r="F90" s="2" t="s">
        <v>144</v>
      </c>
      <c r="G90" s="2">
        <v>2</v>
      </c>
    </row>
    <row r="91" spans="2:8" ht="15.75">
      <c r="B91" s="87" t="s">
        <v>320</v>
      </c>
      <c r="C91" s="16">
        <f>+C90*E87</f>
        <v>60.13035</v>
      </c>
      <c r="D91" s="87" t="s">
        <v>71</v>
      </c>
      <c r="F91" s="87" t="s">
        <v>321</v>
      </c>
      <c r="G91" s="16">
        <f>+E87/G90</f>
        <v>40.0869</v>
      </c>
      <c r="H91" s="87" t="s">
        <v>71</v>
      </c>
    </row>
    <row r="92" spans="2:8" ht="12.75">
      <c r="B92" s="87" t="s">
        <v>323</v>
      </c>
      <c r="C92" s="16">
        <f>+E46</f>
        <v>1.45</v>
      </c>
      <c r="D92" s="87"/>
      <c r="F92" s="87" t="s">
        <v>323</v>
      </c>
      <c r="G92" s="16">
        <f>+E47</f>
        <v>1</v>
      </c>
      <c r="H92" s="87"/>
    </row>
    <row r="93" spans="2:9" ht="15.75">
      <c r="B93" s="113" t="s">
        <v>322</v>
      </c>
      <c r="C93" s="114">
        <f>+C91/C92</f>
        <v>41.469206896551725</v>
      </c>
      <c r="D93" s="115" t="s">
        <v>71</v>
      </c>
      <c r="F93" s="113" t="s">
        <v>322</v>
      </c>
      <c r="G93" s="114">
        <f>+G91/G92</f>
        <v>40.0869</v>
      </c>
      <c r="H93" s="115" t="s">
        <v>71</v>
      </c>
      <c r="I93" s="87" t="s">
        <v>324</v>
      </c>
    </row>
    <row r="95" ht="12.75">
      <c r="A95" s="3" t="s">
        <v>152</v>
      </c>
    </row>
    <row r="97" ht="12.75">
      <c r="B97" s="87" t="s">
        <v>331</v>
      </c>
    </row>
    <row r="99" spans="2:6" ht="15.75">
      <c r="B99" s="87" t="s">
        <v>52</v>
      </c>
      <c r="C99" s="13">
        <f>+C11/C12</f>
        <v>0.2222222222222222</v>
      </c>
      <c r="E99" s="87" t="s">
        <v>330</v>
      </c>
      <c r="F99" s="129">
        <v>1</v>
      </c>
    </row>
    <row r="100" spans="2:6" ht="12.75">
      <c r="B100" s="87" t="s">
        <v>13</v>
      </c>
      <c r="C100" s="13">
        <v>0</v>
      </c>
      <c r="E100" s="87" t="s">
        <v>0</v>
      </c>
      <c r="F100" s="2">
        <f>+C14</f>
        <v>4</v>
      </c>
    </row>
    <row r="101" ht="12.75">
      <c r="E101" s="87"/>
    </row>
    <row r="102" ht="12.75">
      <c r="B102" s="87" t="s">
        <v>328</v>
      </c>
    </row>
    <row r="104" spans="3:4" ht="12.75">
      <c r="C104" s="127" t="s">
        <v>52</v>
      </c>
      <c r="D104" s="127" t="s">
        <v>119</v>
      </c>
    </row>
    <row r="105" spans="3:4" ht="12.75">
      <c r="C105" s="130">
        <v>0.2</v>
      </c>
      <c r="D105" s="131">
        <v>3.51</v>
      </c>
    </row>
    <row r="106" spans="3:5" ht="12.75">
      <c r="C106" s="35">
        <f>+C99</f>
        <v>0.2222222222222222</v>
      </c>
      <c r="D106" s="43">
        <f>D105+(C106-C105)*(D107-D105)/(C107-C105)</f>
        <v>3.421111111111111</v>
      </c>
      <c r="E106" s="87" t="s">
        <v>327</v>
      </c>
    </row>
    <row r="107" spans="3:4" ht="12.75">
      <c r="C107" s="130">
        <v>0.25</v>
      </c>
      <c r="D107" s="131">
        <v>3.31</v>
      </c>
    </row>
    <row r="109" spans="2:4" ht="15.75">
      <c r="B109" s="87" t="s">
        <v>329</v>
      </c>
      <c r="C109" s="2">
        <f>+D106*F99*F100*C12</f>
        <v>123.16</v>
      </c>
      <c r="D109" s="87" t="s">
        <v>13</v>
      </c>
    </row>
    <row r="111" spans="2:8" ht="12.75">
      <c r="B111" s="106" t="s">
        <v>114</v>
      </c>
      <c r="C111" s="4"/>
      <c r="D111" s="4"/>
      <c r="F111" s="106" t="s">
        <v>148</v>
      </c>
      <c r="G111" s="4"/>
      <c r="H111" s="4"/>
    </row>
    <row r="112" spans="2:7" ht="12.75">
      <c r="B112" s="2" t="s">
        <v>140</v>
      </c>
      <c r="C112" s="2">
        <v>0.75</v>
      </c>
      <c r="F112" s="2" t="s">
        <v>144</v>
      </c>
      <c r="G112" s="2">
        <v>2</v>
      </c>
    </row>
    <row r="113" spans="2:8" ht="15.75">
      <c r="B113" s="87" t="s">
        <v>320</v>
      </c>
      <c r="C113" s="16">
        <f>+C112*C109</f>
        <v>92.37</v>
      </c>
      <c r="D113" s="87" t="s">
        <v>71</v>
      </c>
      <c r="F113" s="87" t="s">
        <v>321</v>
      </c>
      <c r="G113" s="16">
        <f>+C109/G112</f>
        <v>61.58</v>
      </c>
      <c r="H113" s="87" t="s">
        <v>71</v>
      </c>
    </row>
    <row r="114" spans="2:8" ht="12.75">
      <c r="B114" s="87" t="s">
        <v>323</v>
      </c>
      <c r="C114" s="16">
        <f>+C92</f>
        <v>1.45</v>
      </c>
      <c r="D114" s="87"/>
      <c r="F114" s="87" t="s">
        <v>323</v>
      </c>
      <c r="G114" s="16">
        <f>+G92</f>
        <v>1</v>
      </c>
      <c r="H114" s="87"/>
    </row>
    <row r="115" spans="2:9" ht="15.75">
      <c r="B115" s="113" t="s">
        <v>322</v>
      </c>
      <c r="C115" s="114">
        <f>+C113/C114</f>
        <v>63.70344827586207</v>
      </c>
      <c r="D115" s="115" t="s">
        <v>71</v>
      </c>
      <c r="F115" s="113" t="s">
        <v>322</v>
      </c>
      <c r="G115" s="114">
        <f>+G113/G114</f>
        <v>61.58</v>
      </c>
      <c r="H115" s="115" t="s">
        <v>71</v>
      </c>
      <c r="I115" s="87" t="s">
        <v>324</v>
      </c>
    </row>
  </sheetData>
  <sheetProtection password="CADF" sheet="1"/>
  <printOptions/>
  <pageMargins left="0.7" right="0.7" top="0.75" bottom="0.75" header="0.3" footer="0.3"/>
  <pageSetup orientation="portrait" r:id="rId4"/>
  <drawing r:id="rId3"/>
  <legacyDrawing r:id="rId2"/>
  <oleObjects>
    <oleObject progId="AutoCAD.Drawing.17" shapeId="10729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Hewlett-Packard Company</cp:lastModifiedBy>
  <dcterms:created xsi:type="dcterms:W3CDTF">2006-09-23T19:09:51Z</dcterms:created>
  <dcterms:modified xsi:type="dcterms:W3CDTF">2019-01-24T16:53:00Z</dcterms:modified>
  <cp:category/>
  <cp:version/>
  <cp:contentType/>
  <cp:contentStatus/>
</cp:coreProperties>
</file>