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40" windowHeight="8460" activeTab="3"/>
  </bookViews>
  <sheets>
    <sheet name="Example 6.1" sheetId="1" r:id="rId1"/>
    <sheet name="Example 6.2" sheetId="2" r:id="rId2"/>
    <sheet name="Example 6.3" sheetId="3" r:id="rId3"/>
    <sheet name="Example 6.4" sheetId="4" r:id="rId4"/>
  </sheets>
  <definedNames>
    <definedName name="solver_adj" localSheetId="3" hidden="1">'Example 6.4'!$C$101:$D$101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'Example 6.4'!$H$135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comments1.xml><?xml version="1.0" encoding="utf-8"?>
<comments xmlns="http://schemas.openxmlformats.org/spreadsheetml/2006/main">
  <authors>
    <author>Bart</author>
  </authors>
  <commentList>
    <comment ref="I43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Experiment with changing weld size and notice what happens to the req'd lap length.</t>
        </r>
      </text>
    </comment>
  </commentList>
</comments>
</file>

<file path=xl/comments2.xml><?xml version="1.0" encoding="utf-8"?>
<comments xmlns="http://schemas.openxmlformats.org/spreadsheetml/2006/main">
  <authors>
    <author>Bart</author>
  </authors>
  <commentList>
    <comment ref="C67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taking first moments of the lines about the 'base' L1.</t>
        </r>
      </text>
    </comment>
    <comment ref="C68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subtracting L2 and L3 from the required length.</t>
        </r>
      </text>
    </comment>
    <comment ref="D69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Ly / overall length.  You have a good result of this equals the distance to the centroid of the member.</t>
        </r>
      </text>
    </comment>
    <comment ref="F84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taking moments about L1.</t>
        </r>
      </text>
    </comment>
    <comment ref="E84" authorId="0">
      <text>
        <r>
          <rPr>
            <b/>
            <sz val="8"/>
            <rFont val="Tahoma"/>
            <family val="2"/>
          </rPr>
          <t>Bart:</t>
        </r>
        <r>
          <rPr>
            <sz val="8"/>
            <rFont val="Tahoma"/>
            <family val="2"/>
          </rPr>
          <t xml:space="preserve">
Found by dividing force by </t>
        </r>
        <r>
          <rPr>
            <sz val="8"/>
            <rFont val="Symbol"/>
            <family val="1"/>
          </rPr>
          <t>f</t>
        </r>
        <r>
          <rPr>
            <sz val="8"/>
            <rFont val="Tahoma"/>
            <family val="2"/>
          </rPr>
          <t>r</t>
        </r>
        <r>
          <rPr>
            <vertAlign val="subscript"/>
            <sz val="8"/>
            <rFont val="Tahoma"/>
            <family val="2"/>
          </rPr>
          <t>n</t>
        </r>
        <r>
          <rPr>
            <sz val="8"/>
            <rFont val="Tahoma"/>
            <family val="2"/>
          </rPr>
          <t xml:space="preserve"> for the weld.</t>
        </r>
      </text>
    </comment>
  </commentList>
</comments>
</file>

<file path=xl/sharedStrings.xml><?xml version="1.0" encoding="utf-8"?>
<sst xmlns="http://schemas.openxmlformats.org/spreadsheetml/2006/main" count="537" uniqueCount="280">
  <si>
    <t>D</t>
  </si>
  <si>
    <t>W</t>
  </si>
  <si>
    <t>Pu</t>
  </si>
  <si>
    <t>Example 6.2</t>
  </si>
  <si>
    <t>Loads</t>
  </si>
  <si>
    <t>Material</t>
  </si>
  <si>
    <t>ksi</t>
  </si>
  <si>
    <t>Gusset</t>
  </si>
  <si>
    <t>t</t>
  </si>
  <si>
    <t>in</t>
  </si>
  <si>
    <t>Angle</t>
  </si>
  <si>
    <t>in^2</t>
  </si>
  <si>
    <t xml:space="preserve">in </t>
  </si>
  <si>
    <t>Solution</t>
  </si>
  <si>
    <t>k</t>
  </si>
  <si>
    <t>Weld Strength</t>
  </si>
  <si>
    <t>te</t>
  </si>
  <si>
    <t>Base Metal Strength</t>
  </si>
  <si>
    <t>k/in</t>
  </si>
  <si>
    <t>req'd length of weld</t>
  </si>
  <si>
    <t>use, a</t>
  </si>
  <si>
    <t>L3</t>
  </si>
  <si>
    <t>y</t>
  </si>
  <si>
    <t>leg</t>
  </si>
  <si>
    <t>L1</t>
  </si>
  <si>
    <t>L2</t>
  </si>
  <si>
    <t>Example 6.1</t>
  </si>
  <si>
    <t>PL</t>
  </si>
  <si>
    <t>HSS</t>
  </si>
  <si>
    <t>Weld</t>
  </si>
  <si>
    <t>Plate</t>
  </si>
  <si>
    <t>E</t>
  </si>
  <si>
    <t>locations</t>
  </si>
  <si>
    <t>L</t>
  </si>
  <si>
    <t>Welds</t>
  </si>
  <si>
    <t>Material Properties</t>
  </si>
  <si>
    <t>Given:</t>
  </si>
  <si>
    <t>k  ASD LC 5</t>
  </si>
  <si>
    <t>Solution:</t>
  </si>
  <si>
    <r>
      <t>W</t>
    </r>
    <r>
      <rPr>
        <sz val="10"/>
        <rFont val="Arial"/>
        <family val="0"/>
      </rPr>
      <t xml:space="preserve"> 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</si>
  <si>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>L</t>
    </r>
  </si>
  <si>
    <t>Leg size,a</t>
  </si>
  <si>
    <t>/16 in.</t>
  </si>
  <si>
    <t>Compute the Capacity of Each Element</t>
  </si>
  <si>
    <r>
      <t>F</t>
    </r>
    <r>
      <rPr>
        <vertAlign val="subscript"/>
        <sz val="10"/>
        <rFont val="Arial"/>
        <family val="2"/>
      </rPr>
      <t>BM</t>
    </r>
  </si>
  <si>
    <r>
      <t>A</t>
    </r>
    <r>
      <rPr>
        <vertAlign val="subscript"/>
        <sz val="10"/>
        <rFont val="Arial"/>
        <family val="2"/>
      </rPr>
      <t>BM</t>
    </r>
  </si>
  <si>
    <r>
      <t>F</t>
    </r>
    <r>
      <rPr>
        <vertAlign val="subscript"/>
        <sz val="10"/>
        <rFont val="Arial"/>
        <family val="2"/>
      </rPr>
      <t>W</t>
    </r>
  </si>
  <si>
    <r>
      <t>A</t>
    </r>
    <r>
      <rPr>
        <vertAlign val="subscript"/>
        <sz val="10"/>
        <rFont val="Arial"/>
        <family val="2"/>
      </rPr>
      <t>W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</si>
  <si>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</si>
  <si>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</t>
    </r>
  </si>
  <si>
    <r>
      <t xml:space="preserve">L  </t>
    </r>
    <r>
      <rPr>
        <b/>
        <u val="single"/>
        <sz val="10"/>
        <rFont val="Arial"/>
        <family val="2"/>
      </rPr>
      <t>&gt;</t>
    </r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</si>
  <si>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</si>
  <si>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Example 6.3</t>
  </si>
  <si>
    <t>A Beginners Guide to the Steel Construction Manual</t>
  </si>
  <si>
    <t>last modified:  30 Sept 2006</t>
  </si>
  <si>
    <t>a</t>
  </si>
  <si>
    <t>L4</t>
  </si>
  <si>
    <t>Segment</t>
  </si>
  <si>
    <t>Length</t>
  </si>
  <si>
    <t>Theta</t>
  </si>
  <si>
    <t>Coeff</t>
  </si>
  <si>
    <t>Fw</t>
  </si>
  <si>
    <t>(in)</t>
  </si>
  <si>
    <t>(deg)</t>
  </si>
  <si>
    <t>(ksi)</t>
  </si>
  <si>
    <t>Aw</t>
  </si>
  <si>
    <t>Rn</t>
  </si>
  <si>
    <t>(in^2)</t>
  </si>
  <si>
    <t>(k)</t>
  </si>
  <si>
    <t>Rn =</t>
  </si>
  <si>
    <t>Aw =</t>
  </si>
  <si>
    <t>Solution Summary:</t>
  </si>
  <si>
    <t>with theta</t>
  </si>
  <si>
    <t>w/o theta</t>
  </si>
  <si>
    <t>kips</t>
  </si>
  <si>
    <t>in =</t>
  </si>
  <si>
    <t>/16ths</t>
  </si>
  <si>
    <t>last modified:  3 Oct 2006</t>
  </si>
  <si>
    <t>The eccentrically loaded weld shown.</t>
  </si>
  <si>
    <t>Load</t>
  </si>
  <si>
    <t>Dead Load</t>
  </si>
  <si>
    <t>Live Load</t>
  </si>
  <si>
    <t>degrees</t>
  </si>
  <si>
    <t>Wanted:</t>
  </si>
  <si>
    <t>a.</t>
  </si>
  <si>
    <t>Fillet weld size using the elastic method.</t>
  </si>
  <si>
    <t>AB</t>
  </si>
  <si>
    <t>BC</t>
  </si>
  <si>
    <t>CD</t>
  </si>
  <si>
    <t>x-coor</t>
  </si>
  <si>
    <t>y-coor</t>
  </si>
  <si>
    <t>xL</t>
  </si>
  <si>
    <t>yL</t>
  </si>
  <si>
    <t>Total</t>
  </si>
  <si>
    <t>Find center of weld group (relative to point C)</t>
  </si>
  <si>
    <t>Determine Ip relative to the CG.  (Assume the te = 1)</t>
  </si>
  <si>
    <t>Area</t>
  </si>
  <si>
    <t>Iox</t>
  </si>
  <si>
    <t>b</t>
  </si>
  <si>
    <t>h</t>
  </si>
  <si>
    <t>Ay^2</t>
  </si>
  <si>
    <t>Ix</t>
  </si>
  <si>
    <t>Ioy</t>
  </si>
  <si>
    <t>Ax^2</t>
  </si>
  <si>
    <t>Iy</t>
  </si>
  <si>
    <t>Ip</t>
  </si>
  <si>
    <t>(in^4)</t>
  </si>
  <si>
    <t>The controlling load case is LRFD LC2</t>
  </si>
  <si>
    <t>The controlling load case is ASD LC2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</si>
  <si>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</si>
  <si>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</si>
  <si>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Composite load factor for ASD:</t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</si>
  <si>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</si>
  <si>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t>Determine Stresses</t>
  </si>
  <si>
    <t>Pux =</t>
  </si>
  <si>
    <t>Puy =</t>
  </si>
  <si>
    <t>Pax =</t>
  </si>
  <si>
    <t>Pay =</t>
  </si>
  <si>
    <t>LRFD</t>
  </si>
  <si>
    <t>x-dir</t>
  </si>
  <si>
    <t>ydir</t>
  </si>
  <si>
    <t>A</t>
  </si>
  <si>
    <t>B</t>
  </si>
  <si>
    <t>C</t>
  </si>
  <si>
    <t>Point</t>
  </si>
  <si>
    <t>Translational</t>
  </si>
  <si>
    <t>Rotational</t>
  </si>
  <si>
    <t>Determine geometric data</t>
  </si>
  <si>
    <t>c</t>
  </si>
  <si>
    <t>Stress</t>
  </si>
  <si>
    <t>e</t>
  </si>
  <si>
    <t>Pu e =</t>
  </si>
  <si>
    <t>in-k</t>
  </si>
  <si>
    <t>Pa e =</t>
  </si>
  <si>
    <t>Resultant</t>
  </si>
  <si>
    <t>Area =</t>
  </si>
  <si>
    <t>Ip =</t>
  </si>
  <si>
    <t>(k/in/te)</t>
  </si>
  <si>
    <t>Maximum</t>
  </si>
  <si>
    <r>
      <t>r 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</t>
    </r>
  </si>
  <si>
    <t>fw</t>
  </si>
  <si>
    <t>A36 Steel</t>
  </si>
  <si>
    <t>F6 electrode</t>
  </si>
  <si>
    <t xml:space="preserve">   Fexx</t>
  </si>
  <si>
    <r>
      <t xml:space="preserve">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 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</si>
  <si>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0.60 F</t>
    </r>
    <r>
      <rPr>
        <vertAlign val="subscript"/>
        <sz val="10"/>
        <rFont val="Arial"/>
        <family val="2"/>
      </rPr>
      <t>EXX</t>
    </r>
    <r>
      <rPr>
        <sz val="10"/>
        <rFont val="Arial"/>
        <family val="0"/>
      </rPr>
      <t xml:space="preserve"> </t>
    </r>
  </si>
  <si>
    <t>Use:</t>
  </si>
  <si>
    <t>1/2" fillet weld</t>
  </si>
  <si>
    <r>
      <t xml:space="preserve">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  </t>
    </r>
  </si>
  <si>
    <r>
      <t>r 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*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</si>
  <si>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&lt;=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 0.60 F</t>
    </r>
    <r>
      <rPr>
        <vertAlign val="subscript"/>
        <sz val="10"/>
        <rFont val="Arial"/>
        <family val="2"/>
      </rPr>
      <t>EXX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</t>
    </r>
  </si>
  <si>
    <t>All the terms in the following table can be multiplied by the actual te to get the associate property for that te.</t>
  </si>
  <si>
    <t>ASD</t>
  </si>
  <si>
    <t>Fillet weld size using the IC method</t>
  </si>
  <si>
    <t>b.</t>
  </si>
  <si>
    <t>Part (a)</t>
  </si>
  <si>
    <t>Part (b)</t>
  </si>
  <si>
    <t>divide the weld into one inch segments, numbered successively as you move from point A to point D.</t>
  </si>
  <si>
    <t>IC</t>
  </si>
  <si>
    <t>Relative to CG</t>
  </si>
  <si>
    <t>Realative to IC</t>
  </si>
  <si>
    <t>Angle frm</t>
  </si>
  <si>
    <t>Vertical</t>
  </si>
  <si>
    <t>Reaction</t>
  </si>
  <si>
    <r>
      <t>D</t>
    </r>
    <r>
      <rPr>
        <sz val="10"/>
        <rFont val="Arial"/>
        <family val="0"/>
      </rPr>
      <t>m</t>
    </r>
  </si>
  <si>
    <t>p</t>
  </si>
  <si>
    <t xml:space="preserve">Def. at </t>
  </si>
  <si>
    <t>max stress</t>
  </si>
  <si>
    <t>Element</t>
  </si>
  <si>
    <t>f(p)</t>
  </si>
  <si>
    <t>Pw</t>
  </si>
  <si>
    <t>Pwx</t>
  </si>
  <si>
    <t>Pwy</t>
  </si>
  <si>
    <t>deg</t>
  </si>
  <si>
    <t>Equilibrium</t>
  </si>
  <si>
    <t>Computations for ro</t>
  </si>
  <si>
    <t>CG</t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</si>
  <si>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</si>
  <si>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t>&lt;--- point of load application</t>
  </si>
  <si>
    <t>in (perp dist from IC to load path)</t>
  </si>
  <si>
    <t>Pw c</t>
  </si>
  <si>
    <t>(in-k)</t>
  </si>
  <si>
    <t>Pn = sum(Pwx)/sin(delta)</t>
  </si>
  <si>
    <t>Vert.:</t>
  </si>
  <si>
    <t xml:space="preserve">Horiz.: </t>
  </si>
  <si>
    <t>Pn = sum(Pwy)/cos(delta)</t>
  </si>
  <si>
    <t>maximum difference:</t>
  </si>
  <si>
    <t>Pn = sum(Pw c)/ro</t>
  </si>
  <si>
    <t xml:space="preserve">Moment: </t>
  </si>
  <si>
    <t>Use Pn =</t>
  </si>
  <si>
    <r>
      <t>f</t>
    </r>
    <r>
      <rPr>
        <sz val="10"/>
        <rFont val="Arial"/>
        <family val="0"/>
      </rPr>
      <t xml:space="preserve"> =</t>
    </r>
  </si>
  <si>
    <r>
      <t>W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</si>
  <si>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</si>
  <si>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t>k/connection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</si>
  <si>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</si>
  <si>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</t>
    </r>
  </si>
  <si>
    <r>
      <t>Pa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sz val="10"/>
        <rFont val="Arial"/>
        <family val="0"/>
      </rPr>
      <t>) =</t>
    </r>
  </si>
  <si>
    <t>Part (c.)</t>
  </si>
  <si>
    <t>See SCM pgs 8-90 and 8-91</t>
  </si>
  <si>
    <t>l</t>
  </si>
  <si>
    <t>Angle:</t>
  </si>
  <si>
    <t>Interpolate between tables</t>
  </si>
  <si>
    <t>Interpolate on adjacent tables</t>
  </si>
  <si>
    <t>&lt;--- use this C</t>
  </si>
  <si>
    <r>
      <t xml:space="preserve">Knowing that Pn = Pu /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 and Pn = Pa </t>
    </r>
    <r>
      <rPr>
        <sz val="10"/>
        <rFont val="Symbol"/>
        <family val="1"/>
      </rPr>
      <t>W</t>
    </r>
    <r>
      <rPr>
        <sz val="10"/>
        <rFont val="Arial"/>
        <family val="0"/>
      </rPr>
      <t>:</t>
    </r>
  </si>
  <si>
    <t>C1 =</t>
  </si>
  <si>
    <t>kl =</t>
  </si>
  <si>
    <t>ex =</t>
  </si>
  <si>
    <t>l =</t>
  </si>
  <si>
    <t xml:space="preserve">Pa  </t>
  </si>
  <si>
    <t>Dmin =</t>
  </si>
  <si>
    <t>5/16" fillet weld</t>
  </si>
  <si>
    <t>Compute a coefficient as found in the Tables (see SCM pg 8-90)</t>
  </si>
  <si>
    <t>C1</t>
  </si>
  <si>
    <r>
      <t xml:space="preserve">Pu /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= Pa </t>
    </r>
    <r>
      <rPr>
        <sz val="10"/>
        <rFont val="Symbol"/>
        <family val="1"/>
      </rPr>
      <t>W</t>
    </r>
    <r>
      <rPr>
        <sz val="10"/>
        <rFont val="Arial"/>
        <family val="0"/>
      </rPr>
      <t xml:space="preserve"> = Pn =</t>
    </r>
  </si>
  <si>
    <t>C =</t>
  </si>
  <si>
    <t xml:space="preserve"> Use a =</t>
  </si>
  <si>
    <t>ksi &lt;=</t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</si>
  <si>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</si>
  <si>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(F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sz val="10"/>
        <rFont val="Arial"/>
        <family val="0"/>
      </rPr>
      <t>) =</t>
    </r>
  </si>
  <si>
    <r>
      <t>F</t>
    </r>
    <r>
      <rPr>
        <vertAlign val="subscript"/>
        <sz val="10"/>
        <rFont val="Arial"/>
        <family val="2"/>
      </rPr>
      <t>EXX</t>
    </r>
  </si>
  <si>
    <r>
      <t>F</t>
    </r>
    <r>
      <rPr>
        <vertAlign val="subscript"/>
        <sz val="10"/>
        <rFont val="Arial"/>
        <family val="2"/>
      </rPr>
      <t>u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</si>
  <si>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</si>
  <si>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</si>
  <si>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</si>
  <si>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&gt;=</t>
    </r>
  </si>
  <si>
    <r>
      <t>F</t>
    </r>
    <r>
      <rPr>
        <vertAlign val="subscript"/>
        <sz val="10"/>
        <rFont val="Arial"/>
        <family val="2"/>
      </rPr>
      <t>y</t>
    </r>
  </si>
  <si>
    <r>
      <t>A</t>
    </r>
    <r>
      <rPr>
        <vertAlign val="subscript"/>
        <sz val="10"/>
        <rFont val="Arial"/>
        <family val="2"/>
      </rPr>
      <t>g</t>
    </r>
  </si>
  <si>
    <r>
      <t>Solution</t>
    </r>
    <r>
      <rPr>
        <sz val="10"/>
        <rFont val="Arial"/>
        <family val="0"/>
      </rPr>
      <t>:</t>
    </r>
  </si>
  <si>
    <r>
      <t>P</t>
    </r>
    <r>
      <rPr>
        <vertAlign val="subscript"/>
        <sz val="10"/>
        <rFont val="Arial"/>
        <family val="2"/>
      </rPr>
      <t>u</t>
    </r>
  </si>
  <si>
    <r>
      <t>a</t>
    </r>
    <r>
      <rPr>
        <vertAlign val="subscript"/>
        <sz val="10"/>
        <rFont val="Arial"/>
        <family val="2"/>
      </rPr>
      <t>min</t>
    </r>
  </si>
  <si>
    <r>
      <t>a</t>
    </r>
    <r>
      <rPr>
        <vertAlign val="subscript"/>
        <sz val="10"/>
        <rFont val="Arial"/>
        <family val="2"/>
      </rPr>
      <t>max</t>
    </r>
  </si>
  <si>
    <r>
      <t>a</t>
    </r>
    <r>
      <rPr>
        <vertAlign val="subscript"/>
        <sz val="10"/>
        <rFont val="Arial"/>
        <family val="2"/>
      </rPr>
      <t>(max effective)</t>
    </r>
  </si>
  <si>
    <t>f</t>
  </si>
  <si>
    <r>
      <t>t</t>
    </r>
    <r>
      <rPr>
        <vertAlign val="subscript"/>
        <sz val="10"/>
        <rFont val="Arial"/>
        <family val="2"/>
      </rPr>
      <t>e</t>
    </r>
  </si>
  <si>
    <r>
      <t>r</t>
    </r>
    <r>
      <rPr>
        <vertAlign val="subscript"/>
        <sz val="10"/>
        <rFont val="Arial"/>
        <family val="2"/>
      </rPr>
      <t>n</t>
    </r>
  </si>
  <si>
    <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</si>
  <si>
    <r>
      <t>t</t>
    </r>
    <r>
      <rPr>
        <vertAlign val="subscript"/>
        <sz val="10"/>
        <rFont val="Arial"/>
        <family val="2"/>
      </rPr>
      <t>bm</t>
    </r>
  </si>
  <si>
    <r>
      <t xml:space="preserve">Controlling strength, </t>
    </r>
    <r>
      <rPr>
        <sz val="10"/>
        <rFont val="Symbol"/>
        <family val="1"/>
      </rPr>
      <t>f</t>
    </r>
    <r>
      <rPr>
        <sz val="10"/>
        <rFont val="Arial"/>
        <family val="0"/>
      </rP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</si>
  <si>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k  (LRFD LC-4)</t>
  </si>
  <si>
    <t>part (a):</t>
  </si>
  <si>
    <t>The largest weld size will be controlled either by the thickness of the angle leg</t>
  </si>
  <si>
    <t>or shear rupture in the base metal.</t>
  </si>
  <si>
    <t>k/in  (the weld metal controls over the base metal.)</t>
  </si>
  <si>
    <t>Balance the Welds</t>
  </si>
  <si>
    <t>Arm, y</t>
  </si>
  <si>
    <t>Ly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</si>
  <si>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</si>
  <si>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part (b):</t>
  </si>
  <si>
    <t>For this part use the largest effective weld for L1 and the max allowed for L2 and L3.</t>
  </si>
  <si>
    <t>Leg</t>
  </si>
  <si>
    <t>(k/in)</t>
  </si>
  <si>
    <t>moments taken about "base", L1</t>
  </si>
  <si>
    <t>Moment</t>
  </si>
  <si>
    <t>You need to complete drawings with appropriate weld symbols!</t>
  </si>
  <si>
    <t>You might observe that all we did was change the size and length of L1… in</t>
  </si>
  <si>
    <t>both parts (a) and (b) the welds have the same capacities.</t>
  </si>
  <si>
    <t>Capacity</t>
  </si>
  <si>
    <t>Fix the hand calc… two errors in part (b)  (14.625*phi, a1 = 7.9…)</t>
  </si>
  <si>
    <t>last modified:  9 Aug 2007</t>
  </si>
  <si>
    <t>Prob statement has wrong gusset thickness</t>
  </si>
  <si>
    <t xml:space="preserve">L </t>
  </si>
  <si>
    <r>
      <t xml:space="preserve">Gusset Plate thickness </t>
    </r>
    <r>
      <rPr>
        <u val="single"/>
        <sz val="10"/>
        <rFont val="Arial"/>
        <family val="2"/>
      </rPr>
      <t>&gt;</t>
    </r>
  </si>
  <si>
    <t>part (a):  Consider the effects of theta:</t>
  </si>
  <si>
    <t>part (b):  Ignoring effects of theta</t>
  </si>
  <si>
    <t>part ( c):  Thickness of gusset plate to prevent shear rupture</t>
  </si>
  <si>
    <t>by:  TBQ</t>
  </si>
  <si>
    <t>Example 6.4</t>
  </si>
  <si>
    <r>
      <t>D</t>
    </r>
    <r>
      <rPr>
        <sz val="10"/>
        <rFont val="Arial"/>
        <family val="0"/>
      </rPr>
      <t xml:space="preserve">u </t>
    </r>
  </si>
  <si>
    <t>ult stress</t>
  </si>
  <si>
    <r>
      <t>D</t>
    </r>
    <r>
      <rPr>
        <sz val="10"/>
        <rFont val="Arial"/>
        <family val="0"/>
      </rPr>
      <t>u / c</t>
    </r>
  </si>
  <si>
    <r>
      <t>atan(</t>
    </r>
    <r>
      <rPr>
        <sz val="10"/>
        <rFont val="Symbol"/>
        <family val="1"/>
      </rPr>
      <t>d</t>
    </r>
    <r>
      <rPr>
        <sz val="10"/>
        <rFont val="Arial"/>
        <family val="0"/>
      </rPr>
      <t>) =</t>
    </r>
  </si>
  <si>
    <r>
      <t>r</t>
    </r>
    <r>
      <rPr>
        <vertAlign val="subscript"/>
        <sz val="10"/>
        <rFont val="Arial"/>
        <family val="2"/>
      </rPr>
      <t>ox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</si>
  <si>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oy</t>
    </r>
    <r>
      <rPr>
        <sz val="10"/>
        <rFont val="Arial"/>
        <family val="2"/>
      </rPr>
      <t xml:space="preserve"> =</t>
    </r>
  </si>
  <si>
    <t>These values found by computing</t>
  </si>
  <si>
    <t xml:space="preserve">the intersection of two line whose </t>
  </si>
  <si>
    <t>slope we know and a point that each</t>
  </si>
  <si>
    <t>passes through.</t>
  </si>
  <si>
    <t xml:space="preserve">a </t>
  </si>
  <si>
    <t>&lt;--- change until balance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</si>
</sst>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Symbol"/>
      <family val="1"/>
    </font>
    <font>
      <vertAlign val="subscript"/>
      <sz val="8"/>
      <name val="Tahoma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" fillId="34" borderId="16" xfId="0" applyFont="1" applyFill="1" applyBorder="1" applyAlignment="1" applyProtection="1">
      <alignment/>
      <protection hidden="1"/>
    </xf>
    <xf numFmtId="2" fontId="2" fillId="34" borderId="17" xfId="0" applyNumberFormat="1" applyFont="1" applyFill="1" applyBorder="1" applyAlignment="1" applyProtection="1">
      <alignment/>
      <protection hidden="1"/>
    </xf>
    <xf numFmtId="0" fontId="2" fillId="34" borderId="18" xfId="0" applyFont="1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5" borderId="0" xfId="0" applyFill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67" fontId="0" fillId="35" borderId="13" xfId="0" applyNumberFormat="1" applyFill="1" applyBorder="1" applyAlignment="1" applyProtection="1">
      <alignment horizontal="center"/>
      <protection hidden="1"/>
    </xf>
    <xf numFmtId="167" fontId="0" fillId="35" borderId="11" xfId="0" applyNumberFormat="1" applyFill="1" applyBorder="1" applyAlignment="1" applyProtection="1">
      <alignment horizontal="center"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67" fontId="0" fillId="0" borderId="0" xfId="0" applyNumberFormat="1" applyAlignment="1" applyProtection="1">
      <alignment horizontal="center"/>
      <protection hidden="1"/>
    </xf>
    <xf numFmtId="2" fontId="0" fillId="33" borderId="0" xfId="0" applyNumberFormat="1" applyFill="1" applyAlignment="1" applyProtection="1">
      <alignment/>
      <protection locked="0"/>
    </xf>
    <xf numFmtId="166" fontId="0" fillId="35" borderId="0" xfId="0" applyNumberFormat="1" applyFill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57" applyNumberFormat="1" applyFont="1" applyAlignment="1" applyProtection="1">
      <alignment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1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/>
      <protection hidden="1"/>
    </xf>
    <xf numFmtId="11" fontId="0" fillId="0" borderId="13" xfId="0" applyNumberFormat="1" applyBorder="1" applyAlignment="1" applyProtection="1">
      <alignment horizontal="center"/>
      <protection hidden="1"/>
    </xf>
    <xf numFmtId="165" fontId="0" fillId="0" borderId="13" xfId="0" applyNumberFormat="1" applyBorder="1" applyAlignment="1" applyProtection="1">
      <alignment/>
      <protection hidden="1"/>
    </xf>
    <xf numFmtId="11" fontId="0" fillId="0" borderId="0" xfId="0" applyNumberForma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1" fontId="0" fillId="0" borderId="11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67" fontId="0" fillId="0" borderId="11" xfId="0" applyNumberFormat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2" fontId="0" fillId="34" borderId="0" xfId="0" applyNumberForma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alignment horizontal="center"/>
      <protection hidden="1"/>
    </xf>
    <xf numFmtId="166" fontId="0" fillId="34" borderId="21" xfId="0" applyNumberFormat="1" applyFill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alignment horizontal="center"/>
      <protection hidden="1"/>
    </xf>
    <xf numFmtId="0" fontId="2" fillId="35" borderId="17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167" fontId="2" fillId="33" borderId="17" xfId="0" applyNumberFormat="1" applyFont="1" applyFill="1" applyBorder="1" applyAlignment="1" applyProtection="1" quotePrefix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7" fontId="0" fillId="36" borderId="0" xfId="0" applyNumberFormat="1" applyFill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447675</xdr:colOff>
      <xdr:row>11</xdr:row>
      <xdr:rowOff>57150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85775"/>
          <a:ext cx="410527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connection shown has a gusset plate fitted into a slot in an HSS section.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gusset plate is A992 steel.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HSS is A500 Gr B steel.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electrode is F7.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consists of 50 k Dead load and 150 k Seismic Load.  Use ASD.
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8</xdr:col>
      <xdr:colOff>114300</xdr:colOff>
      <xdr:row>34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5257800"/>
          <a:ext cx="49911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Determine the size and required lengths of the fillet welds so as to minimize the lap of the connection.  Draw the appropriate fillet weld on your summary detail drawing.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</xdr:row>
      <xdr:rowOff>104775</xdr:rowOff>
    </xdr:from>
    <xdr:ext cx="5000625" cy="533400"/>
    <xdr:sp>
      <xdr:nvSpPr>
        <xdr:cNvPr id="1" name="Text Box 2"/>
        <xdr:cNvSpPr txBox="1">
          <a:spLocks noChangeArrowheads="1"/>
        </xdr:cNvSpPr>
      </xdr:nvSpPr>
      <xdr:spPr>
        <a:xfrm>
          <a:off x="0" y="752475"/>
          <a:ext cx="500062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single angle connection shown.   A992 steel and E70 electrodes are used.  The gusset plate is 3/8 inch thick.  The Tension load is 25 k Dead Load and 40 k Wind Load.  Use LRFD</a:t>
          </a:r>
        </a:p>
      </xdr:txBody>
    </xdr:sp>
    <xdr:clientData/>
  </xdr:oneCellAnchor>
  <xdr:twoCellAnchor>
    <xdr:from>
      <xdr:col>0</xdr:col>
      <xdr:colOff>0</xdr:colOff>
      <xdr:row>34</xdr:row>
      <xdr:rowOff>133350</xdr:rowOff>
    </xdr:from>
    <xdr:to>
      <xdr:col>9</xdr:col>
      <xdr:colOff>9525</xdr:colOff>
      <xdr:row>40</xdr:row>
      <xdr:rowOff>76200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5791200"/>
          <a:ext cx="54959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Determine the size and required lengths of the welds so as to minimize the lap of the connection.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All fillet welds are the same size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Fillet welds may be different sizes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28575</xdr:rowOff>
    </xdr:from>
    <xdr:to>
      <xdr:col>9</xdr:col>
      <xdr:colOff>400050</xdr:colOff>
      <xdr:row>8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8100" y="514350"/>
          <a:ext cx="58483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The connection shown has a flat plate tension member attached to a gusset plate.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plates are A36 steel.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electrode is F6.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weld size a = 3/8”
</a:t>
          </a:r>
        </a:p>
      </xdr:txBody>
    </xdr:sp>
    <xdr:clientData/>
  </xdr:twoCellAnchor>
  <xdr:twoCellAnchor>
    <xdr:from>
      <xdr:col>0</xdr:col>
      <xdr:colOff>28575</xdr:colOff>
      <xdr:row>17</xdr:row>
      <xdr:rowOff>9525</xdr:rowOff>
    </xdr:from>
    <xdr:to>
      <xdr:col>7</xdr:col>
      <xdr:colOff>161925</xdr:colOff>
      <xdr:row>23</xdr:row>
      <xdr:rowOff>95250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2838450"/>
          <a:ext cx="44005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Wanted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Determine the weld strength of the connection considering the effect of the angle of load to weld axis.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Determine the weld strength of the connection not considering the effect of angle of load to weld axis.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Determine the thickness of the gusset plate to prevent shear rupture.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53</v>
      </c>
      <c r="H1" s="2" t="s">
        <v>54</v>
      </c>
    </row>
    <row r="2" spans="1:8" ht="12.75">
      <c r="A2" s="3" t="s">
        <v>26</v>
      </c>
      <c r="H2" s="2" t="s">
        <v>266</v>
      </c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spans="2:5" ht="12.75">
      <c r="B14" s="4" t="s">
        <v>4</v>
      </c>
      <c r="C14" s="4"/>
      <c r="E14" s="2" t="s">
        <v>35</v>
      </c>
    </row>
    <row r="15" spans="2:8" ht="12.75">
      <c r="B15" s="2" t="s">
        <v>0</v>
      </c>
      <c r="C15" s="25">
        <v>50</v>
      </c>
      <c r="D15" s="2" t="s">
        <v>14</v>
      </c>
      <c r="F15" s="5" t="s">
        <v>27</v>
      </c>
      <c r="G15" s="5" t="s">
        <v>28</v>
      </c>
      <c r="H15" s="5" t="s">
        <v>29</v>
      </c>
    </row>
    <row r="16" spans="2:9" ht="15.75">
      <c r="B16" s="2" t="s">
        <v>31</v>
      </c>
      <c r="C16" s="25">
        <v>150</v>
      </c>
      <c r="D16" s="2" t="s">
        <v>14</v>
      </c>
      <c r="E16" s="2" t="s">
        <v>48</v>
      </c>
      <c r="F16" s="20">
        <v>50</v>
      </c>
      <c r="G16" s="21">
        <v>46</v>
      </c>
      <c r="H16" s="8"/>
      <c r="I16" s="2" t="s">
        <v>6</v>
      </c>
    </row>
    <row r="17" spans="5:9" ht="15.75">
      <c r="E17" s="2" t="s">
        <v>49</v>
      </c>
      <c r="F17" s="22">
        <v>65</v>
      </c>
      <c r="G17" s="23">
        <v>58</v>
      </c>
      <c r="H17" s="24">
        <v>70</v>
      </c>
      <c r="I17" s="2" t="s">
        <v>6</v>
      </c>
    </row>
    <row r="18" spans="6:8" ht="12.75">
      <c r="F18" s="11"/>
      <c r="G18" s="11"/>
      <c r="H18" s="11"/>
    </row>
    <row r="19" spans="6:8" ht="12.75">
      <c r="F19" s="11"/>
      <c r="G19" s="11"/>
      <c r="H19" s="11"/>
    </row>
    <row r="20" spans="6:8" ht="12.75">
      <c r="F20" s="11"/>
      <c r="G20" s="11"/>
      <c r="H20" s="11"/>
    </row>
    <row r="21" spans="6:8" ht="12.75">
      <c r="F21" s="11"/>
      <c r="G21" s="11"/>
      <c r="H21" s="11"/>
    </row>
    <row r="22" spans="6:8" ht="12.75">
      <c r="F22" s="11"/>
      <c r="G22" s="11"/>
      <c r="H22" s="11"/>
    </row>
    <row r="23" spans="6:8" ht="12.75">
      <c r="F23" s="11"/>
      <c r="G23" s="11"/>
      <c r="H23" s="11"/>
    </row>
    <row r="24" spans="6:8" ht="12.75">
      <c r="F24" s="11"/>
      <c r="G24" s="11"/>
      <c r="H24" s="11"/>
    </row>
    <row r="25" spans="6:8" ht="12.75">
      <c r="F25" s="11"/>
      <c r="G25" s="11"/>
      <c r="H25" s="11"/>
    </row>
    <row r="26" spans="6:8" ht="12.75">
      <c r="F26" s="11"/>
      <c r="G26" s="11"/>
      <c r="H26" s="11"/>
    </row>
    <row r="27" spans="6:8" ht="12.75">
      <c r="F27" s="11"/>
      <c r="G27" s="11"/>
      <c r="H27" s="11"/>
    </row>
    <row r="28" spans="6:8" ht="12.75">
      <c r="F28" s="11"/>
      <c r="G28" s="11"/>
      <c r="H28" s="11"/>
    </row>
    <row r="29" spans="6:8" ht="12.75">
      <c r="F29" s="11"/>
      <c r="G29" s="11"/>
      <c r="H29" s="11"/>
    </row>
    <row r="30" spans="6:8" ht="12.75">
      <c r="F30" s="11"/>
      <c r="G30" s="11"/>
      <c r="H30" s="11"/>
    </row>
    <row r="31" spans="6:8" ht="12.75">
      <c r="F31" s="11"/>
      <c r="G31" s="11"/>
      <c r="H31" s="11"/>
    </row>
    <row r="32" spans="6:8" ht="12.75">
      <c r="F32" s="11"/>
      <c r="G32" s="11"/>
      <c r="H32" s="11"/>
    </row>
    <row r="33" spans="6:8" ht="12.75">
      <c r="F33" s="11"/>
      <c r="G33" s="11"/>
      <c r="H33" s="11"/>
    </row>
    <row r="37" ht="12.75">
      <c r="A37" s="3" t="s">
        <v>38</v>
      </c>
    </row>
    <row r="39" spans="2:4" ht="15.75">
      <c r="B39" s="2" t="s">
        <v>51</v>
      </c>
      <c r="C39" s="2">
        <f>+C15+0.7*C16</f>
        <v>155</v>
      </c>
      <c r="D39" s="2" t="s">
        <v>37</v>
      </c>
    </row>
    <row r="41" ht="12.75">
      <c r="B41" s="2" t="s">
        <v>43</v>
      </c>
    </row>
    <row r="42" spans="2:9" ht="12.75">
      <c r="B42" s="4" t="s">
        <v>28</v>
      </c>
      <c r="C42" s="4"/>
      <c r="E42" s="4" t="s">
        <v>30</v>
      </c>
      <c r="F42" s="4"/>
      <c r="H42" s="4" t="s">
        <v>34</v>
      </c>
      <c r="I42" s="4"/>
    </row>
    <row r="43" spans="2:10" ht="12.75">
      <c r="B43" s="2" t="s">
        <v>8</v>
      </c>
      <c r="C43" s="1">
        <v>0.375</v>
      </c>
      <c r="E43" s="2" t="s">
        <v>8</v>
      </c>
      <c r="F43" s="1">
        <v>0.75</v>
      </c>
      <c r="H43" s="2" t="s">
        <v>41</v>
      </c>
      <c r="I43" s="1">
        <v>7</v>
      </c>
      <c r="J43" s="12" t="s">
        <v>42</v>
      </c>
    </row>
    <row r="44" spans="2:9" ht="12.75">
      <c r="B44" s="2" t="s">
        <v>32</v>
      </c>
      <c r="C44" s="2">
        <v>4</v>
      </c>
      <c r="E44" s="2" t="s">
        <v>32</v>
      </c>
      <c r="F44" s="2">
        <v>2</v>
      </c>
      <c r="H44" s="2" t="s">
        <v>32</v>
      </c>
      <c r="I44" s="2">
        <v>4</v>
      </c>
    </row>
    <row r="45" spans="2:10" ht="15.75">
      <c r="B45" s="2" t="s">
        <v>44</v>
      </c>
      <c r="C45" s="2">
        <f>0.6*G17</f>
        <v>34.8</v>
      </c>
      <c r="D45" s="2" t="s">
        <v>6</v>
      </c>
      <c r="E45" s="2" t="s">
        <v>44</v>
      </c>
      <c r="F45" s="2">
        <f>0.6*F17</f>
        <v>39</v>
      </c>
      <c r="G45" s="2" t="s">
        <v>6</v>
      </c>
      <c r="H45" s="2" t="s">
        <v>46</v>
      </c>
      <c r="I45" s="2">
        <f>0.6*H17</f>
        <v>42</v>
      </c>
      <c r="J45" s="2" t="s">
        <v>6</v>
      </c>
    </row>
    <row r="46" spans="2:10" ht="15.75">
      <c r="B46" s="2" t="s">
        <v>45</v>
      </c>
      <c r="C46" s="2">
        <f>+C43</f>
        <v>0.375</v>
      </c>
      <c r="D46" s="2" t="s">
        <v>33</v>
      </c>
      <c r="E46" s="2" t="s">
        <v>45</v>
      </c>
      <c r="F46" s="13">
        <f>+F43</f>
        <v>0.75</v>
      </c>
      <c r="G46" s="2" t="s">
        <v>33</v>
      </c>
      <c r="H46" s="2" t="s">
        <v>47</v>
      </c>
      <c r="I46" s="13">
        <f>0.707*I43/16</f>
        <v>0.3093125</v>
      </c>
      <c r="J46" s="2" t="s">
        <v>33</v>
      </c>
    </row>
    <row r="47" spans="2:9" ht="12.75">
      <c r="B47" s="14" t="s">
        <v>39</v>
      </c>
      <c r="C47" s="2">
        <v>2</v>
      </c>
      <c r="E47" s="14" t="s">
        <v>39</v>
      </c>
      <c r="F47" s="2">
        <v>2</v>
      </c>
      <c r="H47" s="14" t="s">
        <v>39</v>
      </c>
      <c r="I47" s="2">
        <v>2</v>
      </c>
    </row>
    <row r="48" spans="2:10" ht="15.75">
      <c r="B48" s="2" t="s">
        <v>40</v>
      </c>
      <c r="C48" s="2">
        <f>+C44*C45*C46/C47</f>
        <v>26.099999999999998</v>
      </c>
      <c r="D48" s="2" t="s">
        <v>18</v>
      </c>
      <c r="E48" s="2" t="s">
        <v>40</v>
      </c>
      <c r="F48" s="12">
        <f>+F44*F45*F46/F47</f>
        <v>29.25</v>
      </c>
      <c r="G48" s="2" t="s">
        <v>18</v>
      </c>
      <c r="H48" s="2" t="s">
        <v>40</v>
      </c>
      <c r="I48" s="15">
        <f>+I44*I45*I46/I47</f>
        <v>25.98225</v>
      </c>
      <c r="J48" s="2" t="s">
        <v>18</v>
      </c>
    </row>
    <row r="49" spans="2:10" ht="12.75">
      <c r="B49" s="2" t="s">
        <v>261</v>
      </c>
      <c r="C49" s="16">
        <f>+C39/C48</f>
        <v>5.938697318007663</v>
      </c>
      <c r="D49" s="2" t="s">
        <v>9</v>
      </c>
      <c r="E49" s="2" t="s">
        <v>261</v>
      </c>
      <c r="F49" s="16">
        <f>+C39/F48</f>
        <v>5.299145299145299</v>
      </c>
      <c r="G49" s="2" t="s">
        <v>9</v>
      </c>
      <c r="H49" s="2" t="s">
        <v>261</v>
      </c>
      <c r="I49" s="16">
        <f>+C39/I48</f>
        <v>5.965611138373313</v>
      </c>
      <c r="J49" s="2" t="s">
        <v>9</v>
      </c>
    </row>
    <row r="51" spans="2:4" ht="12.75">
      <c r="B51" s="17" t="s">
        <v>50</v>
      </c>
      <c r="C51" s="18">
        <f>+C39/MIN(C48,F48,I48)</f>
        <v>5.965611138373313</v>
      </c>
      <c r="D51" s="19" t="s">
        <v>9</v>
      </c>
    </row>
  </sheetData>
  <sheetProtection password="CA9D" sheet="1" objects="1" scenarios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7" shapeId="13621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53</v>
      </c>
      <c r="H1" s="2" t="s">
        <v>259</v>
      </c>
    </row>
    <row r="2" spans="1:8" ht="12.75">
      <c r="A2" s="3" t="s">
        <v>3</v>
      </c>
      <c r="H2" s="2" t="s">
        <v>266</v>
      </c>
    </row>
    <row r="3" spans="1:10" ht="12.75">
      <c r="A3" s="3"/>
      <c r="D3" s="27" t="s">
        <v>258</v>
      </c>
      <c r="E3" s="27"/>
      <c r="F3" s="27"/>
      <c r="G3" s="27"/>
      <c r="H3" s="27"/>
      <c r="I3" s="27"/>
      <c r="J3" s="27"/>
    </row>
    <row r="4" spans="1:10" ht="12.75">
      <c r="A4" s="3"/>
      <c r="D4" s="27" t="s">
        <v>260</v>
      </c>
      <c r="E4" s="27"/>
      <c r="F4" s="27"/>
      <c r="G4" s="27"/>
      <c r="H4" s="27"/>
      <c r="I4" s="27"/>
      <c r="J4" s="27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spans="2:5" ht="12.75">
      <c r="B10" s="2" t="s">
        <v>4</v>
      </c>
      <c r="E10" s="2" t="s">
        <v>5</v>
      </c>
    </row>
    <row r="11" spans="2:7" ht="15.75">
      <c r="B11" s="2" t="s">
        <v>0</v>
      </c>
      <c r="C11" s="26">
        <v>25</v>
      </c>
      <c r="D11" s="2" t="s">
        <v>14</v>
      </c>
      <c r="E11" s="2" t="s">
        <v>226</v>
      </c>
      <c r="F11" s="26">
        <v>50</v>
      </c>
      <c r="G11" s="2" t="s">
        <v>6</v>
      </c>
    </row>
    <row r="12" spans="2:7" ht="15.75">
      <c r="B12" s="2" t="s">
        <v>1</v>
      </c>
      <c r="C12" s="26">
        <v>40</v>
      </c>
      <c r="D12" s="2" t="s">
        <v>14</v>
      </c>
      <c r="E12" s="2" t="s">
        <v>221</v>
      </c>
      <c r="F12" s="26">
        <v>65</v>
      </c>
      <c r="G12" s="2" t="s">
        <v>6</v>
      </c>
    </row>
    <row r="13" spans="5:7" ht="15.75">
      <c r="E13" s="2" t="s">
        <v>220</v>
      </c>
      <c r="F13" s="26">
        <v>70</v>
      </c>
      <c r="G13" s="2" t="s">
        <v>6</v>
      </c>
    </row>
    <row r="15" spans="2:5" ht="12.75">
      <c r="B15" s="2" t="s">
        <v>7</v>
      </c>
      <c r="E15" s="2" t="s">
        <v>10</v>
      </c>
    </row>
    <row r="16" spans="2:7" ht="15.75">
      <c r="B16" s="2" t="s">
        <v>8</v>
      </c>
      <c r="C16" s="26">
        <v>0.375</v>
      </c>
      <c r="D16" s="2" t="s">
        <v>9</v>
      </c>
      <c r="E16" s="2" t="s">
        <v>227</v>
      </c>
      <c r="F16" s="26">
        <v>2.86</v>
      </c>
      <c r="G16" s="2" t="s">
        <v>11</v>
      </c>
    </row>
    <row r="17" spans="5:7" ht="12.75">
      <c r="E17" s="2" t="s">
        <v>23</v>
      </c>
      <c r="F17" s="26">
        <v>4</v>
      </c>
      <c r="G17" s="2" t="s">
        <v>9</v>
      </c>
    </row>
    <row r="18" spans="5:7" ht="12.75">
      <c r="E18" s="2" t="s">
        <v>8</v>
      </c>
      <c r="F18" s="26">
        <v>0.375</v>
      </c>
      <c r="G18" s="2" t="s">
        <v>12</v>
      </c>
    </row>
    <row r="19" spans="5:7" ht="12.75">
      <c r="E19" s="2" t="s">
        <v>22</v>
      </c>
      <c r="F19" s="26">
        <v>1.13</v>
      </c>
      <c r="G19" s="2" t="s">
        <v>9</v>
      </c>
    </row>
    <row r="42" ht="12.75">
      <c r="A42" s="3" t="s">
        <v>228</v>
      </c>
    </row>
    <row r="43" spans="1:4" ht="15.75">
      <c r="A43" s="3"/>
      <c r="B43" s="2" t="s">
        <v>229</v>
      </c>
      <c r="C43" s="2">
        <f>1.2*25+1.6*40</f>
        <v>94</v>
      </c>
      <c r="D43" s="2" t="s">
        <v>239</v>
      </c>
    </row>
    <row r="44" ht="12.75">
      <c r="A44" s="3"/>
    </row>
    <row r="45" spans="1:2" ht="12.75">
      <c r="A45" s="3" t="s">
        <v>240</v>
      </c>
      <c r="B45" s="2" t="s">
        <v>241</v>
      </c>
    </row>
    <row r="46" spans="1:2" ht="12.75">
      <c r="A46" s="3"/>
      <c r="B46" s="2" t="s">
        <v>242</v>
      </c>
    </row>
    <row r="47" ht="12.75">
      <c r="A47" s="3"/>
    </row>
    <row r="48" spans="2:8" ht="15.75">
      <c r="B48" s="2" t="s">
        <v>230</v>
      </c>
      <c r="C48" s="2">
        <f>3/16</f>
        <v>0.1875</v>
      </c>
      <c r="D48" s="2" t="s">
        <v>9</v>
      </c>
      <c r="E48" s="2" t="s">
        <v>232</v>
      </c>
      <c r="G48" s="28">
        <f>+(F12/F13)*(C16/0.707)</f>
        <v>0.4925237421701354</v>
      </c>
      <c r="H48" s="2" t="s">
        <v>9</v>
      </c>
    </row>
    <row r="49" spans="2:4" ht="15.75">
      <c r="B49" s="2" t="s">
        <v>231</v>
      </c>
      <c r="C49" s="2">
        <f>+F18-1/16</f>
        <v>0.3125</v>
      </c>
      <c r="D49" s="2" t="s">
        <v>9</v>
      </c>
    </row>
    <row r="50" spans="2:4" ht="12.75">
      <c r="B50" s="2" t="s">
        <v>20</v>
      </c>
      <c r="C50" s="2">
        <f>MAX(C48:C49)</f>
        <v>0.3125</v>
      </c>
      <c r="D50" s="2" t="s">
        <v>9</v>
      </c>
    </row>
    <row r="52" spans="2:6" ht="12.75">
      <c r="B52" s="2" t="s">
        <v>15</v>
      </c>
      <c r="F52" s="2" t="s">
        <v>17</v>
      </c>
    </row>
    <row r="53" spans="2:7" ht="12.75">
      <c r="B53" s="14" t="s">
        <v>233</v>
      </c>
      <c r="C53" s="2">
        <v>0.75</v>
      </c>
      <c r="F53" s="14" t="s">
        <v>233</v>
      </c>
      <c r="G53" s="2">
        <v>0.75</v>
      </c>
    </row>
    <row r="54" spans="2:8" ht="15.75">
      <c r="B54" s="2" t="s">
        <v>234</v>
      </c>
      <c r="C54" s="13">
        <f>0.707*C49</f>
        <v>0.22093749999999998</v>
      </c>
      <c r="D54" s="2" t="s">
        <v>9</v>
      </c>
      <c r="F54" s="2" t="s">
        <v>237</v>
      </c>
      <c r="G54" s="13">
        <f>+C16</f>
        <v>0.375</v>
      </c>
      <c r="H54" s="2" t="s">
        <v>9</v>
      </c>
    </row>
    <row r="55" spans="2:8" ht="15.75">
      <c r="B55" s="2" t="s">
        <v>235</v>
      </c>
      <c r="C55" s="13">
        <f>0.6*F13*C54</f>
        <v>9.279375</v>
      </c>
      <c r="D55" s="2" t="s">
        <v>18</v>
      </c>
      <c r="F55" s="2" t="s">
        <v>235</v>
      </c>
      <c r="G55" s="13">
        <f>0.6*F12*G54</f>
        <v>14.625</v>
      </c>
      <c r="H55" s="2" t="s">
        <v>18</v>
      </c>
    </row>
    <row r="56" spans="2:8" ht="15.75">
      <c r="B56" s="14" t="s">
        <v>236</v>
      </c>
      <c r="C56" s="13">
        <f>+C53*C55</f>
        <v>6.9595312499999995</v>
      </c>
      <c r="D56" s="2" t="s">
        <v>18</v>
      </c>
      <c r="F56" s="14" t="s">
        <v>236</v>
      </c>
      <c r="G56" s="13">
        <f>+G53*G55</f>
        <v>10.96875</v>
      </c>
      <c r="H56" s="2" t="s">
        <v>18</v>
      </c>
    </row>
    <row r="58" spans="2:6" ht="15.75">
      <c r="B58" s="2" t="s">
        <v>238</v>
      </c>
      <c r="E58" s="16">
        <f>MIN(C56,G56)</f>
        <v>6.9595312499999995</v>
      </c>
      <c r="F58" s="2" t="s">
        <v>243</v>
      </c>
    </row>
    <row r="60" spans="2:5" ht="12.75">
      <c r="B60" s="2" t="s">
        <v>19</v>
      </c>
      <c r="D60" s="16">
        <f>+C43/E58</f>
        <v>13.506656788127794</v>
      </c>
      <c r="E60" s="2" t="s">
        <v>9</v>
      </c>
    </row>
    <row r="62" ht="12.75">
      <c r="B62" s="2" t="s">
        <v>244</v>
      </c>
    </row>
    <row r="64" spans="3:5" ht="12.75">
      <c r="C64" s="5" t="s">
        <v>58</v>
      </c>
      <c r="D64" s="5" t="s">
        <v>245</v>
      </c>
      <c r="E64" s="5" t="s">
        <v>246</v>
      </c>
    </row>
    <row r="65" spans="2:5" ht="14.25">
      <c r="B65" s="29"/>
      <c r="C65" s="30" t="s">
        <v>62</v>
      </c>
      <c r="D65" s="30" t="s">
        <v>62</v>
      </c>
      <c r="E65" s="30" t="s">
        <v>247</v>
      </c>
    </row>
    <row r="66" spans="2:5" ht="12.75">
      <c r="B66" s="31" t="s">
        <v>25</v>
      </c>
      <c r="C66" s="32">
        <f>+F17</f>
        <v>4</v>
      </c>
      <c r="D66" s="7">
        <f>+C66/2</f>
        <v>2</v>
      </c>
      <c r="E66" s="32">
        <f>+C66*D66</f>
        <v>8</v>
      </c>
    </row>
    <row r="67" spans="2:5" ht="12.75">
      <c r="B67" s="33" t="s">
        <v>21</v>
      </c>
      <c r="C67" s="34">
        <f>+(F19*D60-C66*C66/2)/C66</f>
        <v>1.8156305426461015</v>
      </c>
      <c r="D67" s="11">
        <f>+C66</f>
        <v>4</v>
      </c>
      <c r="E67" s="34">
        <f>+C67*D67</f>
        <v>7.262522170584406</v>
      </c>
    </row>
    <row r="68" spans="2:5" ht="12.75">
      <c r="B68" s="4" t="s">
        <v>24</v>
      </c>
      <c r="C68" s="35">
        <f>+D60-C66-C67</f>
        <v>7.691026245481693</v>
      </c>
      <c r="D68" s="10">
        <v>0</v>
      </c>
      <c r="E68" s="35">
        <f>+C68*D68</f>
        <v>0</v>
      </c>
    </row>
    <row r="69" spans="3:5" ht="12.75">
      <c r="C69" s="36">
        <f>SUM(C66:C68)</f>
        <v>13.506656788127794</v>
      </c>
      <c r="D69" s="5">
        <f>+E69/C69</f>
        <v>1.13</v>
      </c>
      <c r="E69" s="36">
        <f>SUM(E66:E68)</f>
        <v>15.262522170584406</v>
      </c>
    </row>
    <row r="71" ht="12.75">
      <c r="B71" s="2" t="s">
        <v>252</v>
      </c>
    </row>
    <row r="76" spans="1:2" ht="12.75">
      <c r="A76" s="3" t="s">
        <v>248</v>
      </c>
      <c r="B76" s="2" t="s">
        <v>249</v>
      </c>
    </row>
    <row r="81" spans="2:8" ht="15.75">
      <c r="B81" s="2" t="s">
        <v>250</v>
      </c>
      <c r="C81" s="5" t="s">
        <v>55</v>
      </c>
      <c r="D81" s="37" t="s">
        <v>236</v>
      </c>
      <c r="E81" s="5" t="s">
        <v>58</v>
      </c>
      <c r="F81" s="5" t="s">
        <v>257</v>
      </c>
      <c r="G81" s="5" t="s">
        <v>245</v>
      </c>
      <c r="H81" s="5" t="s">
        <v>253</v>
      </c>
    </row>
    <row r="82" spans="2:8" ht="12.75">
      <c r="B82" s="29"/>
      <c r="C82" s="30" t="s">
        <v>62</v>
      </c>
      <c r="D82" s="30" t="s">
        <v>251</v>
      </c>
      <c r="E82" s="30" t="s">
        <v>62</v>
      </c>
      <c r="F82" s="30" t="s">
        <v>68</v>
      </c>
      <c r="G82" s="30" t="s">
        <v>62</v>
      </c>
      <c r="H82" s="30" t="s">
        <v>181</v>
      </c>
    </row>
    <row r="83" spans="2:8" ht="12.75">
      <c r="B83" s="31" t="s">
        <v>25</v>
      </c>
      <c r="C83" s="38">
        <f>5/16</f>
        <v>0.3125</v>
      </c>
      <c r="D83" s="32">
        <f>+C56</f>
        <v>6.9595312499999995</v>
      </c>
      <c r="E83" s="32">
        <v>4</v>
      </c>
      <c r="F83" s="39">
        <f>+D83*E83</f>
        <v>27.838124999999998</v>
      </c>
      <c r="G83" s="7">
        <f>+E83/2</f>
        <v>2</v>
      </c>
      <c r="H83" s="39">
        <f>+F83*G83</f>
        <v>55.676249999999996</v>
      </c>
    </row>
    <row r="84" spans="2:8" ht="12.75">
      <c r="B84" s="33" t="s">
        <v>21</v>
      </c>
      <c r="C84" s="40">
        <f>+C83</f>
        <v>0.3125</v>
      </c>
      <c r="D84" s="34">
        <f>+D83</f>
        <v>6.9595312499999995</v>
      </c>
      <c r="E84" s="34">
        <f>+F84/D84</f>
        <v>1.815630542646101</v>
      </c>
      <c r="F84" s="41">
        <f>+(C43*F19-H83)/G84</f>
        <v>12.635937499999997</v>
      </c>
      <c r="G84" s="11">
        <f>+E83</f>
        <v>4</v>
      </c>
      <c r="H84" s="41">
        <f>+F84*G84</f>
        <v>50.54374999999999</v>
      </c>
    </row>
    <row r="85" spans="2:8" ht="12.75">
      <c r="B85" s="4" t="s">
        <v>24</v>
      </c>
      <c r="C85" s="42">
        <v>0.5</v>
      </c>
      <c r="D85" s="35">
        <f>+G56</f>
        <v>10.96875</v>
      </c>
      <c r="E85" s="35">
        <f>+F85/D85</f>
        <v>4.879857549857551</v>
      </c>
      <c r="F85" s="43">
        <f>+C43-F83-F84</f>
        <v>53.52593750000001</v>
      </c>
      <c r="G85" s="10">
        <v>0</v>
      </c>
      <c r="H85" s="43">
        <f>+F85*G85</f>
        <v>0</v>
      </c>
    </row>
    <row r="86" spans="3:8" ht="12.75">
      <c r="C86" s="5"/>
      <c r="D86" s="5"/>
      <c r="E86" s="5"/>
      <c r="F86" s="44">
        <f>SUM(F83:F85)</f>
        <v>94</v>
      </c>
      <c r="G86" s="5">
        <f>+H86/F86</f>
        <v>1.13</v>
      </c>
      <c r="H86" s="44">
        <f>SUM(H83:H85)</f>
        <v>106.21999999999998</v>
      </c>
    </row>
    <row r="87" spans="16:17" ht="12.75">
      <c r="P87" s="13"/>
      <c r="Q87" s="13"/>
    </row>
    <row r="88" spans="2:10" ht="12.75">
      <c r="B88" s="2" t="s">
        <v>255</v>
      </c>
      <c r="J88" s="16"/>
    </row>
    <row r="89" spans="2:10" ht="12.75">
      <c r="B89" s="2" t="s">
        <v>256</v>
      </c>
      <c r="J89" s="13"/>
    </row>
    <row r="90" ht="12.75">
      <c r="Q90" s="16"/>
    </row>
    <row r="91" ht="12.75">
      <c r="A91" s="3" t="s">
        <v>254</v>
      </c>
    </row>
  </sheetData>
  <sheetProtection password="CA9D" sheet="1" objects="1" scenarios="1"/>
  <printOptions/>
  <pageMargins left="0.75" right="0.75" top="1" bottom="1" header="0.5" footer="0.5"/>
  <pageSetup orientation="portrait" paperSize="9"/>
  <drawing r:id="rId4"/>
  <legacyDrawing r:id="rId3"/>
  <oleObjects>
    <oleObject progId="AutoCAD.Drawing.17" shapeId="2417806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PageLayoutView="0" workbookViewId="0" topLeftCell="A1">
      <selection activeCell="I28" sqref="I28"/>
    </sheetView>
  </sheetViews>
  <sheetFormatPr defaultColWidth="9.140625" defaultRowHeight="12.75"/>
  <cols>
    <col min="1" max="16384" width="9.140625" style="2" customWidth="1"/>
  </cols>
  <sheetData>
    <row r="1" spans="1:8" ht="12.75">
      <c r="A1" s="2" t="s">
        <v>53</v>
      </c>
      <c r="H1" s="2" t="s">
        <v>54</v>
      </c>
    </row>
    <row r="2" spans="1:8" ht="12.75">
      <c r="A2" s="3" t="s">
        <v>52</v>
      </c>
      <c r="H2" s="2" t="s">
        <v>266</v>
      </c>
    </row>
    <row r="10" spans="2:4" ht="15.75">
      <c r="B10" s="2" t="s">
        <v>221</v>
      </c>
      <c r="C10" s="26">
        <v>58</v>
      </c>
      <c r="D10" s="2" t="s">
        <v>6</v>
      </c>
    </row>
    <row r="11" spans="2:4" ht="15.75">
      <c r="B11" s="2" t="s">
        <v>220</v>
      </c>
      <c r="C11" s="26">
        <v>60</v>
      </c>
      <c r="D11" s="2" t="s">
        <v>6</v>
      </c>
    </row>
    <row r="12" spans="2:4" ht="12.75">
      <c r="B12" s="2" t="s">
        <v>55</v>
      </c>
      <c r="C12" s="26">
        <f>3/8</f>
        <v>0.375</v>
      </c>
      <c r="D12" s="2" t="s">
        <v>9</v>
      </c>
    </row>
    <row r="13" spans="2:4" ht="12.75">
      <c r="B13" s="2" t="s">
        <v>24</v>
      </c>
      <c r="C13" s="26">
        <v>3</v>
      </c>
      <c r="D13" s="2" t="s">
        <v>9</v>
      </c>
    </row>
    <row r="14" spans="2:4" ht="12.75">
      <c r="B14" s="2" t="s">
        <v>25</v>
      </c>
      <c r="C14" s="52">
        <f>3/0.707</f>
        <v>4.243281471004243</v>
      </c>
      <c r="D14" s="2" t="s">
        <v>9</v>
      </c>
    </row>
    <row r="15" spans="2:4" ht="12.75">
      <c r="B15" s="2" t="s">
        <v>21</v>
      </c>
      <c r="C15" s="52">
        <f>+C14</f>
        <v>4.243281471004243</v>
      </c>
      <c r="D15" s="2" t="s">
        <v>9</v>
      </c>
    </row>
    <row r="16" spans="2:4" ht="12.75">
      <c r="B16" s="2" t="s">
        <v>56</v>
      </c>
      <c r="C16" s="26">
        <v>3</v>
      </c>
      <c r="D16" s="2" t="s">
        <v>9</v>
      </c>
    </row>
    <row r="25" ht="12.75">
      <c r="A25" s="3" t="s">
        <v>13</v>
      </c>
    </row>
    <row r="27" ht="12.75">
      <c r="B27" s="2" t="s">
        <v>71</v>
      </c>
    </row>
    <row r="28" ht="12.75">
      <c r="E28" s="5" t="s">
        <v>66</v>
      </c>
    </row>
    <row r="29" ht="12.75">
      <c r="E29" s="7" t="s">
        <v>68</v>
      </c>
    </row>
    <row r="30" spans="3:5" ht="12.75">
      <c r="C30" s="31" t="s">
        <v>72</v>
      </c>
      <c r="D30" s="31"/>
      <c r="E30" s="45">
        <f>I44</f>
        <v>162.3484440788051</v>
      </c>
    </row>
    <row r="31" spans="3:5" ht="12.75">
      <c r="C31" s="4" t="s">
        <v>73</v>
      </c>
      <c r="D31" s="4"/>
      <c r="E31" s="46">
        <f>C50</f>
        <v>138.267</v>
      </c>
    </row>
    <row r="33" spans="2:6" ht="12.75">
      <c r="B33" s="2" t="s">
        <v>262</v>
      </c>
      <c r="E33" s="53">
        <f>+C54</f>
        <v>0.27426724137931036</v>
      </c>
      <c r="F33" s="2" t="s">
        <v>9</v>
      </c>
    </row>
    <row r="35" ht="12.75">
      <c r="A35" s="2" t="s">
        <v>263</v>
      </c>
    </row>
    <row r="38" spans="2:9" ht="12.75">
      <c r="B38" s="2" t="s">
        <v>57</v>
      </c>
      <c r="C38" s="5" t="s">
        <v>58</v>
      </c>
      <c r="D38" s="5" t="s">
        <v>16</v>
      </c>
      <c r="E38" s="5" t="s">
        <v>65</v>
      </c>
      <c r="F38" s="5" t="s">
        <v>59</v>
      </c>
      <c r="G38" s="5" t="s">
        <v>60</v>
      </c>
      <c r="H38" s="5" t="s">
        <v>61</v>
      </c>
      <c r="I38" s="5" t="s">
        <v>66</v>
      </c>
    </row>
    <row r="39" spans="2:9" ht="12.75">
      <c r="B39" s="29"/>
      <c r="C39" s="30" t="s">
        <v>62</v>
      </c>
      <c r="D39" s="30" t="s">
        <v>62</v>
      </c>
      <c r="E39" s="30" t="s">
        <v>67</v>
      </c>
      <c r="F39" s="30" t="s">
        <v>63</v>
      </c>
      <c r="G39" s="30"/>
      <c r="H39" s="30" t="s">
        <v>64</v>
      </c>
      <c r="I39" s="30" t="s">
        <v>68</v>
      </c>
    </row>
    <row r="40" spans="2:9" ht="12.75">
      <c r="B40" s="31" t="str">
        <f>B13</f>
        <v>L1</v>
      </c>
      <c r="C40" s="39">
        <f>C13</f>
        <v>3</v>
      </c>
      <c r="D40" s="32">
        <f>0.707*C12</f>
        <v>0.265125</v>
      </c>
      <c r="E40" s="32">
        <f>C40*D40</f>
        <v>0.7953749999999999</v>
      </c>
      <c r="F40" s="47">
        <v>0</v>
      </c>
      <c r="G40" s="32">
        <f>0.6*(1+0.5*(SIN(RADIANS(F40)))^1.5)</f>
        <v>0.6</v>
      </c>
      <c r="H40" s="47">
        <f>G40*C$11</f>
        <v>36</v>
      </c>
      <c r="I40" s="47">
        <f>H40*E40</f>
        <v>28.633499999999998</v>
      </c>
    </row>
    <row r="41" spans="2:9" ht="12.75">
      <c r="B41" s="33" t="str">
        <f aca="true" t="shared" si="0" ref="B41:C43">B14</f>
        <v>L2</v>
      </c>
      <c r="C41" s="41">
        <f t="shared" si="0"/>
        <v>4.243281471004243</v>
      </c>
      <c r="D41" s="34">
        <f>+D40</f>
        <v>0.265125</v>
      </c>
      <c r="E41" s="34">
        <f>C41*D41</f>
        <v>1.125</v>
      </c>
      <c r="F41" s="48">
        <v>45</v>
      </c>
      <c r="G41" s="34">
        <f>0.6*(1+0.5*(SIN(RADIANS(F41)))^1.5)</f>
        <v>0.7783810672504081</v>
      </c>
      <c r="H41" s="48">
        <f>G41*C$11</f>
        <v>46.70286403502449</v>
      </c>
      <c r="I41" s="48">
        <f>H41*E41</f>
        <v>52.54072203940255</v>
      </c>
    </row>
    <row r="42" spans="2:9" ht="12.75">
      <c r="B42" s="33" t="str">
        <f t="shared" si="0"/>
        <v>L3</v>
      </c>
      <c r="C42" s="41">
        <f t="shared" si="0"/>
        <v>4.243281471004243</v>
      </c>
      <c r="D42" s="34">
        <f>+D41</f>
        <v>0.265125</v>
      </c>
      <c r="E42" s="34">
        <f>C42*D42</f>
        <v>1.125</v>
      </c>
      <c r="F42" s="48">
        <v>45</v>
      </c>
      <c r="G42" s="34">
        <f>0.6*(1+0.5*(SIN(RADIANS(F42)))^1.5)</f>
        <v>0.7783810672504081</v>
      </c>
      <c r="H42" s="48">
        <f>G42*C$11</f>
        <v>46.70286403502449</v>
      </c>
      <c r="I42" s="48">
        <f>H42*E42</f>
        <v>52.54072203940255</v>
      </c>
    </row>
    <row r="43" spans="2:9" ht="12.75">
      <c r="B43" s="4" t="str">
        <f t="shared" si="0"/>
        <v>L4</v>
      </c>
      <c r="C43" s="43">
        <f t="shared" si="0"/>
        <v>3</v>
      </c>
      <c r="D43" s="35">
        <f>+D42</f>
        <v>0.265125</v>
      </c>
      <c r="E43" s="35">
        <f>C43*D43</f>
        <v>0.7953749999999999</v>
      </c>
      <c r="F43" s="49">
        <v>0</v>
      </c>
      <c r="G43" s="35">
        <f>0.6*(1+0.5*(SIN(RADIANS(F43)))^1.5)</f>
        <v>0.6</v>
      </c>
      <c r="H43" s="49">
        <f>G43*C$11</f>
        <v>36</v>
      </c>
      <c r="I43" s="49">
        <f>H43*E43</f>
        <v>28.633499999999998</v>
      </c>
    </row>
    <row r="44" spans="4:9" ht="12.75">
      <c r="D44" s="50" t="s">
        <v>70</v>
      </c>
      <c r="E44" s="36">
        <f>SUM(E40:E43)</f>
        <v>3.84075</v>
      </c>
      <c r="H44" s="50" t="s">
        <v>69</v>
      </c>
      <c r="I44" s="51">
        <f>SUM(I40:I43)</f>
        <v>162.3484440788051</v>
      </c>
    </row>
    <row r="46" spans="1:7" ht="12.75">
      <c r="A46" s="2" t="s">
        <v>264</v>
      </c>
      <c r="G46" s="15"/>
    </row>
    <row r="48" spans="2:4" ht="15.75">
      <c r="B48" s="2" t="s">
        <v>222</v>
      </c>
      <c r="C48" s="13">
        <f>+E44</f>
        <v>3.84075</v>
      </c>
      <c r="D48" s="2" t="s">
        <v>11</v>
      </c>
    </row>
    <row r="49" spans="2:4" ht="15.75">
      <c r="B49" s="2" t="s">
        <v>223</v>
      </c>
      <c r="C49" s="15">
        <f>H43</f>
        <v>36</v>
      </c>
      <c r="D49" s="2" t="s">
        <v>6</v>
      </c>
    </row>
    <row r="50" spans="2:4" ht="15.75">
      <c r="B50" s="2" t="s">
        <v>224</v>
      </c>
      <c r="C50" s="15">
        <f>C48*C49</f>
        <v>138.267</v>
      </c>
      <c r="D50" s="2" t="s">
        <v>74</v>
      </c>
    </row>
    <row r="52" ht="12.75">
      <c r="A52" s="2" t="s">
        <v>265</v>
      </c>
    </row>
    <row r="54" spans="2:6" ht="15.75">
      <c r="B54" s="2" t="s">
        <v>225</v>
      </c>
      <c r="C54" s="13">
        <f>C11/C10*C12*0.707</f>
        <v>0.27426724137931036</v>
      </c>
      <c r="D54" s="2" t="s">
        <v>75</v>
      </c>
      <c r="E54" s="16">
        <f>16*C54</f>
        <v>4.388275862068966</v>
      </c>
      <c r="F54" s="12" t="s">
        <v>76</v>
      </c>
    </row>
  </sheetData>
  <sheetProtection password="CA9D" sheet="1" objects="1" scenarios="1"/>
  <printOptions/>
  <pageMargins left="0.75" right="0.75" top="1" bottom="1" header="0.5" footer="0.5"/>
  <pageSetup horizontalDpi="300" verticalDpi="300" orientation="portrait" r:id="rId4"/>
  <drawing r:id="rId3"/>
  <legacyDrawing r:id="rId2"/>
  <oleObjects>
    <oleObject progId="AutoCAD.Drawing.17" shapeId="2458303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U177"/>
  <sheetViews>
    <sheetView showGridLines="0" tabSelected="1" zoomScalePageLayoutView="0" workbookViewId="0" topLeftCell="A1">
      <selection activeCell="J112" sqref="J112"/>
    </sheetView>
  </sheetViews>
  <sheetFormatPr defaultColWidth="9.140625" defaultRowHeight="12.75"/>
  <cols>
    <col min="1" max="7" width="9.140625" style="2" customWidth="1"/>
    <col min="8" max="8" width="9.57421875" style="2" bestFit="1" customWidth="1"/>
    <col min="9" max="16384" width="9.140625" style="2" customWidth="1"/>
  </cols>
  <sheetData>
    <row r="1" spans="1:8" ht="12.75">
      <c r="A1" s="2" t="s">
        <v>53</v>
      </c>
      <c r="H1" s="2" t="s">
        <v>77</v>
      </c>
    </row>
    <row r="2" spans="1:8" ht="12.75">
      <c r="A2" s="3" t="s">
        <v>267</v>
      </c>
      <c r="H2" s="2" t="s">
        <v>266</v>
      </c>
    </row>
    <row r="4" spans="1:2" ht="12.75">
      <c r="A4" s="3" t="s">
        <v>36</v>
      </c>
      <c r="B4" s="2" t="s">
        <v>78</v>
      </c>
    </row>
    <row r="5" ht="12.75"/>
    <row r="6" ht="12.75">
      <c r="B6" s="2" t="s">
        <v>79</v>
      </c>
    </row>
    <row r="7" spans="2:4" ht="12.75">
      <c r="B7" s="2" t="s">
        <v>80</v>
      </c>
      <c r="C7" s="26">
        <v>10</v>
      </c>
      <c r="D7" s="2" t="s">
        <v>74</v>
      </c>
    </row>
    <row r="8" spans="2:4" ht="12.75">
      <c r="B8" s="2" t="s">
        <v>81</v>
      </c>
      <c r="C8" s="26">
        <v>25</v>
      </c>
      <c r="D8" s="2" t="s">
        <v>74</v>
      </c>
    </row>
    <row r="9" ht="12.75"/>
    <row r="10" spans="2:4" ht="12.75">
      <c r="B10" s="14" t="s">
        <v>278</v>
      </c>
      <c r="C10" s="26">
        <v>10</v>
      </c>
      <c r="D10" s="2" t="s">
        <v>82</v>
      </c>
    </row>
    <row r="11" spans="2:4" ht="12.75">
      <c r="B11" s="2" t="s">
        <v>130</v>
      </c>
      <c r="C11" s="26">
        <v>8</v>
      </c>
      <c r="D11" s="2" t="s">
        <v>9</v>
      </c>
    </row>
    <row r="12" ht="12.75"/>
    <row r="13" spans="2:3" ht="12.75">
      <c r="B13" s="26" t="s">
        <v>141</v>
      </c>
      <c r="C13" s="26"/>
    </row>
    <row r="14" spans="2:3" ht="12.75">
      <c r="B14" s="26" t="s">
        <v>142</v>
      </c>
      <c r="C14" s="26"/>
    </row>
    <row r="15" spans="2:4" ht="12.75">
      <c r="B15" s="2" t="s">
        <v>143</v>
      </c>
      <c r="C15" s="26">
        <v>60</v>
      </c>
      <c r="D15" s="2" t="s">
        <v>6</v>
      </c>
    </row>
    <row r="16" ht="12.75"/>
    <row r="17" ht="12.75"/>
    <row r="18" ht="12.75"/>
    <row r="19" ht="12.75">
      <c r="A19" s="3" t="s">
        <v>83</v>
      </c>
    </row>
    <row r="20" spans="1:2" ht="12.75">
      <c r="A20" s="50" t="s">
        <v>84</v>
      </c>
      <c r="B20" s="2" t="s">
        <v>85</v>
      </c>
    </row>
    <row r="21" spans="1:2" ht="12.75">
      <c r="A21" s="50" t="s">
        <v>154</v>
      </c>
      <c r="B21" s="2" t="s">
        <v>153</v>
      </c>
    </row>
    <row r="23" ht="12.75">
      <c r="A23" s="3" t="s">
        <v>38</v>
      </c>
    </row>
    <row r="25" spans="1:9" ht="12.75">
      <c r="A25" s="33" t="s">
        <v>107</v>
      </c>
      <c r="B25" s="33"/>
      <c r="C25" s="33"/>
      <c r="G25" s="54" t="s">
        <v>108</v>
      </c>
      <c r="H25" s="33"/>
      <c r="I25" s="33"/>
    </row>
    <row r="26" spans="2:9" ht="12.75">
      <c r="B26" s="33"/>
      <c r="C26" s="33"/>
      <c r="G26" s="54"/>
      <c r="H26" s="33"/>
      <c r="I26" s="33"/>
    </row>
    <row r="27" spans="1:12" ht="15.75">
      <c r="A27" s="33" t="s">
        <v>109</v>
      </c>
      <c r="B27" s="33"/>
      <c r="C27" s="33"/>
      <c r="D27" s="2" t="s">
        <v>110</v>
      </c>
      <c r="E27" s="55">
        <f>1.2*C7+1.6*C8</f>
        <v>52</v>
      </c>
      <c r="F27" s="2" t="s">
        <v>74</v>
      </c>
      <c r="G27" s="54" t="s">
        <v>111</v>
      </c>
      <c r="H27" s="33"/>
      <c r="I27" s="33"/>
      <c r="J27" s="2" t="s">
        <v>112</v>
      </c>
      <c r="K27" s="55">
        <f>+C7+C8</f>
        <v>35</v>
      </c>
      <c r="L27" s="2" t="s">
        <v>74</v>
      </c>
    </row>
    <row r="29" spans="4:12" ht="12.75">
      <c r="D29" s="2" t="s">
        <v>114</v>
      </c>
      <c r="E29" s="15">
        <f>-E27*SIN(RADIANS($C$10))</f>
        <v>-9.029705238680377</v>
      </c>
      <c r="F29" s="2" t="s">
        <v>74</v>
      </c>
      <c r="J29" s="2" t="s">
        <v>116</v>
      </c>
      <c r="K29" s="15">
        <f>-K27*SIN(RADIANS($C$10))</f>
        <v>-6.077686218342562</v>
      </c>
      <c r="L29" s="2" t="s">
        <v>74</v>
      </c>
    </row>
    <row r="30" spans="4:12" ht="12.75">
      <c r="D30" s="2" t="s">
        <v>115</v>
      </c>
      <c r="E30" s="15">
        <f>-E27*COS(RADIANS($C$10))</f>
        <v>-51.21000315663482</v>
      </c>
      <c r="F30" s="2" t="s">
        <v>74</v>
      </c>
      <c r="J30" s="2" t="s">
        <v>117</v>
      </c>
      <c r="K30" s="15">
        <f>-K27*COS(RADIANS($C$10))</f>
        <v>-34.468271355427284</v>
      </c>
      <c r="L30" s="2" t="s">
        <v>74</v>
      </c>
    </row>
    <row r="31" spans="4:12" ht="12.75">
      <c r="D31" s="2" t="s">
        <v>131</v>
      </c>
      <c r="E31" s="15">
        <f>-E27*C11</f>
        <v>-416</v>
      </c>
      <c r="F31" s="2" t="s">
        <v>132</v>
      </c>
      <c r="J31" s="2" t="s">
        <v>133</v>
      </c>
      <c r="K31" s="15">
        <f>-K27*C11</f>
        <v>-280</v>
      </c>
      <c r="L31" s="2" t="s">
        <v>132</v>
      </c>
    </row>
    <row r="33" ht="12.75">
      <c r="B33" s="2" t="s">
        <v>94</v>
      </c>
    </row>
    <row r="35" spans="2:7" ht="12.75">
      <c r="B35" s="2" t="s">
        <v>57</v>
      </c>
      <c r="C35" s="5" t="s">
        <v>58</v>
      </c>
      <c r="D35" s="5" t="s">
        <v>89</v>
      </c>
      <c r="E35" s="5" t="s">
        <v>90</v>
      </c>
      <c r="F35" s="5" t="s">
        <v>91</v>
      </c>
      <c r="G35" s="5" t="s">
        <v>92</v>
      </c>
    </row>
    <row r="36" spans="3:7" ht="12.75">
      <c r="C36" s="30" t="s">
        <v>62</v>
      </c>
      <c r="D36" s="30" t="s">
        <v>62</v>
      </c>
      <c r="E36" s="30" t="s">
        <v>62</v>
      </c>
      <c r="F36" s="30" t="s">
        <v>67</v>
      </c>
      <c r="G36" s="30" t="s">
        <v>67</v>
      </c>
    </row>
    <row r="37" spans="2:7" ht="12.75">
      <c r="B37" s="31" t="s">
        <v>86</v>
      </c>
      <c r="C37" s="7">
        <v>4</v>
      </c>
      <c r="D37" s="7">
        <v>2</v>
      </c>
      <c r="E37" s="7">
        <v>11</v>
      </c>
      <c r="F37" s="7">
        <f>+C37*D37</f>
        <v>8</v>
      </c>
      <c r="G37" s="7">
        <f>+C37*E37</f>
        <v>44</v>
      </c>
    </row>
    <row r="38" spans="2:7" ht="12.75">
      <c r="B38" s="33" t="s">
        <v>87</v>
      </c>
      <c r="C38" s="11">
        <v>11</v>
      </c>
      <c r="D38" s="11">
        <v>0</v>
      </c>
      <c r="E38" s="11">
        <f>+E37/2</f>
        <v>5.5</v>
      </c>
      <c r="F38" s="11">
        <f>+C38*D38</f>
        <v>0</v>
      </c>
      <c r="G38" s="11">
        <f>+C38*E38</f>
        <v>60.5</v>
      </c>
    </row>
    <row r="39" spans="2:7" ht="12.75">
      <c r="B39" s="4" t="s">
        <v>88</v>
      </c>
      <c r="C39" s="10">
        <v>4</v>
      </c>
      <c r="D39" s="10">
        <v>2</v>
      </c>
      <c r="E39" s="10">
        <v>0</v>
      </c>
      <c r="F39" s="10">
        <f>+C39*D39</f>
        <v>8</v>
      </c>
      <c r="G39" s="10">
        <f>+C39*E39</f>
        <v>0</v>
      </c>
    </row>
    <row r="40" spans="2:7" ht="12.75">
      <c r="B40" s="2" t="s">
        <v>93</v>
      </c>
      <c r="C40" s="5">
        <f>SUM(C37:C39)</f>
        <v>19</v>
      </c>
      <c r="D40" s="36">
        <f>+F40/C40</f>
        <v>0.8421052631578947</v>
      </c>
      <c r="E40" s="5">
        <f>+G40/C40</f>
        <v>5.5</v>
      </c>
      <c r="F40" s="5">
        <f>SUM(F37:F39)</f>
        <v>16</v>
      </c>
      <c r="G40" s="5">
        <f>SUM(G37:G39)</f>
        <v>104.5</v>
      </c>
    </row>
    <row r="42" ht="12.75">
      <c r="B42" s="2" t="s">
        <v>127</v>
      </c>
    </row>
    <row r="44" spans="2:5" ht="12.75">
      <c r="B44" s="2" t="s">
        <v>124</v>
      </c>
      <c r="C44" s="5" t="s">
        <v>89</v>
      </c>
      <c r="D44" s="5" t="s">
        <v>90</v>
      </c>
      <c r="E44" s="5" t="s">
        <v>128</v>
      </c>
    </row>
    <row r="45" spans="2:5" ht="12.75">
      <c r="B45" s="29"/>
      <c r="C45" s="30" t="s">
        <v>62</v>
      </c>
      <c r="D45" s="30" t="s">
        <v>62</v>
      </c>
      <c r="E45" s="30" t="s">
        <v>62</v>
      </c>
    </row>
    <row r="46" spans="2:5" ht="12.75">
      <c r="B46" s="31" t="s">
        <v>121</v>
      </c>
      <c r="C46" s="32">
        <f>+C37-D40</f>
        <v>3.1578947368421053</v>
      </c>
      <c r="D46" s="39">
        <f>+C38/2</f>
        <v>5.5</v>
      </c>
      <c r="E46" s="39">
        <f>SQRT(C46^2+D46^2)</f>
        <v>6.342105263157895</v>
      </c>
    </row>
    <row r="47" spans="2:5" ht="12.75">
      <c r="B47" s="33" t="s">
        <v>122</v>
      </c>
      <c r="C47" s="34">
        <f>-D40</f>
        <v>-0.8421052631578947</v>
      </c>
      <c r="D47" s="41">
        <f>+D46</f>
        <v>5.5</v>
      </c>
      <c r="E47" s="41">
        <f>SQRT(C47^2+D47^2)</f>
        <v>5.564093931112075</v>
      </c>
    </row>
    <row r="48" spans="2:5" ht="12.75">
      <c r="B48" s="33" t="s">
        <v>123</v>
      </c>
      <c r="C48" s="34">
        <f>+C47</f>
        <v>-0.8421052631578947</v>
      </c>
      <c r="D48" s="41">
        <f>-D47</f>
        <v>-5.5</v>
      </c>
      <c r="E48" s="41">
        <f>SQRT(C48^2+D48^2)</f>
        <v>5.564093931112075</v>
      </c>
    </row>
    <row r="49" spans="2:5" ht="12.75">
      <c r="B49" s="4" t="s">
        <v>0</v>
      </c>
      <c r="C49" s="35">
        <f>+C46</f>
        <v>3.1578947368421053</v>
      </c>
      <c r="D49" s="43">
        <f>-D46</f>
        <v>-5.5</v>
      </c>
      <c r="E49" s="43">
        <f>SQRT(C49^2+D49^2)</f>
        <v>6.342105263157895</v>
      </c>
    </row>
    <row r="50" spans="2:6" ht="12.75">
      <c r="B50" s="56" t="s">
        <v>31</v>
      </c>
      <c r="C50" s="34">
        <f>+C11/COS(RADIANS(C10))</f>
        <v>8.123412895085961</v>
      </c>
      <c r="D50" s="41">
        <v>0</v>
      </c>
      <c r="E50" s="41"/>
      <c r="F50" s="2" t="s">
        <v>178</v>
      </c>
    </row>
    <row r="52" ht="12.75">
      <c r="A52" s="3" t="s">
        <v>155</v>
      </c>
    </row>
    <row r="53" spans="2:4" ht="12.75">
      <c r="B53" s="57" t="s">
        <v>216</v>
      </c>
      <c r="C53" s="84">
        <v>8</v>
      </c>
      <c r="D53" s="58" t="s">
        <v>76</v>
      </c>
    </row>
    <row r="54" spans="2:4" ht="12.75">
      <c r="B54" s="2" t="s">
        <v>55</v>
      </c>
      <c r="C54" s="2">
        <f>+C53/16</f>
        <v>0.5</v>
      </c>
      <c r="D54" s="2" t="s">
        <v>9</v>
      </c>
    </row>
    <row r="55" spans="2:4" ht="12.75">
      <c r="B55" s="2" t="s">
        <v>16</v>
      </c>
      <c r="C55" s="13">
        <f>+C53*0.707/16</f>
        <v>0.3535</v>
      </c>
      <c r="D55" s="2" t="s">
        <v>9</v>
      </c>
    </row>
    <row r="57" ht="12.75">
      <c r="B57" s="2" t="s">
        <v>95</v>
      </c>
    </row>
    <row r="58" ht="12.75">
      <c r="B58" s="2" t="s">
        <v>151</v>
      </c>
    </row>
    <row r="60" spans="2:14" ht="12.75">
      <c r="B60" s="2" t="s">
        <v>57</v>
      </c>
      <c r="C60" s="5" t="s">
        <v>98</v>
      </c>
      <c r="D60" s="5" t="s">
        <v>99</v>
      </c>
      <c r="E60" s="5" t="s">
        <v>96</v>
      </c>
      <c r="F60" s="5" t="s">
        <v>89</v>
      </c>
      <c r="G60" s="5" t="s">
        <v>90</v>
      </c>
      <c r="H60" s="5" t="s">
        <v>97</v>
      </c>
      <c r="I60" s="5" t="s">
        <v>100</v>
      </c>
      <c r="J60" s="5" t="s">
        <v>101</v>
      </c>
      <c r="K60" s="5" t="s">
        <v>102</v>
      </c>
      <c r="L60" s="5" t="s">
        <v>103</v>
      </c>
      <c r="M60" s="5" t="s">
        <v>104</v>
      </c>
      <c r="N60" s="5" t="s">
        <v>105</v>
      </c>
    </row>
    <row r="61" spans="3:14" ht="12.75">
      <c r="C61" s="30" t="s">
        <v>62</v>
      </c>
      <c r="D61" s="30" t="s">
        <v>62</v>
      </c>
      <c r="E61" s="7" t="s">
        <v>67</v>
      </c>
      <c r="F61" s="7" t="s">
        <v>62</v>
      </c>
      <c r="G61" s="7" t="s">
        <v>62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 t="s">
        <v>106</v>
      </c>
      <c r="N61" s="7" t="s">
        <v>106</v>
      </c>
    </row>
    <row r="62" spans="2:14" ht="12.75">
      <c r="B62" s="31" t="s">
        <v>86</v>
      </c>
      <c r="C62" s="7">
        <f>+C37</f>
        <v>4</v>
      </c>
      <c r="D62" s="32">
        <f>+C55</f>
        <v>0.3535</v>
      </c>
      <c r="E62" s="7">
        <f>+C62*D62</f>
        <v>1.414</v>
      </c>
      <c r="F62" s="7">
        <f aca="true" t="shared" si="0" ref="F62:G64">+D37-D$40</f>
        <v>1.1578947368421053</v>
      </c>
      <c r="G62" s="7">
        <f t="shared" si="0"/>
        <v>5.5</v>
      </c>
      <c r="H62" s="39">
        <f>+C62*(D62^3)/12</f>
        <v>0.014724718458333329</v>
      </c>
      <c r="I62" s="7">
        <f>+E62*G62^2</f>
        <v>42.7735</v>
      </c>
      <c r="J62" s="47">
        <f>+H62+I62</f>
        <v>42.78822471845833</v>
      </c>
      <c r="K62" s="39">
        <f>+D62*(C62^3)/12</f>
        <v>1.8853333333333333</v>
      </c>
      <c r="L62" s="39">
        <f>+E62*F62^2</f>
        <v>1.8957783933518007</v>
      </c>
      <c r="M62" s="39">
        <f>+K62+L62</f>
        <v>3.781111726685134</v>
      </c>
      <c r="N62" s="39">
        <f>+J62+M62</f>
        <v>46.56933644514346</v>
      </c>
    </row>
    <row r="63" spans="2:14" ht="12.75">
      <c r="B63" s="33" t="s">
        <v>87</v>
      </c>
      <c r="C63" s="34">
        <f>+C55</f>
        <v>0.3535</v>
      </c>
      <c r="D63" s="11">
        <f>+C38</f>
        <v>11</v>
      </c>
      <c r="E63" s="11">
        <f>+C63*D63</f>
        <v>3.8884999999999996</v>
      </c>
      <c r="F63" s="11">
        <f t="shared" si="0"/>
        <v>-0.8421052631578947</v>
      </c>
      <c r="G63" s="11">
        <f t="shared" si="0"/>
        <v>0</v>
      </c>
      <c r="H63" s="41">
        <f>+C63*(D63^3)/12</f>
        <v>39.209041666666664</v>
      </c>
      <c r="I63" s="11">
        <f>+E63*G63^2</f>
        <v>0</v>
      </c>
      <c r="J63" s="48">
        <f>+H63+I63</f>
        <v>39.209041666666664</v>
      </c>
      <c r="K63" s="41">
        <f>+D63*(C63^3)/12</f>
        <v>0.040492975760416654</v>
      </c>
      <c r="L63" s="41">
        <f>+E63*F63^2</f>
        <v>2.7574958448753457</v>
      </c>
      <c r="M63" s="41">
        <f>+K63+L63</f>
        <v>2.797988820635762</v>
      </c>
      <c r="N63" s="41">
        <f>+J63+M63</f>
        <v>42.00703048730243</v>
      </c>
    </row>
    <row r="64" spans="2:14" ht="12.75">
      <c r="B64" s="4" t="s">
        <v>88</v>
      </c>
      <c r="C64" s="10">
        <f>+C39</f>
        <v>4</v>
      </c>
      <c r="D64" s="35">
        <f>+C55</f>
        <v>0.3535</v>
      </c>
      <c r="E64" s="10">
        <f>+C64*D64</f>
        <v>1.414</v>
      </c>
      <c r="F64" s="10">
        <f t="shared" si="0"/>
        <v>1.1578947368421053</v>
      </c>
      <c r="G64" s="10">
        <f t="shared" si="0"/>
        <v>-5.5</v>
      </c>
      <c r="H64" s="43">
        <f>+C64*(D64^3)/12</f>
        <v>0.014724718458333329</v>
      </c>
      <c r="I64" s="10">
        <f>+E64*G64^2</f>
        <v>42.7735</v>
      </c>
      <c r="J64" s="49">
        <f>+H64+I64</f>
        <v>42.78822471845833</v>
      </c>
      <c r="K64" s="43">
        <f>+D64*(C64^3)/12</f>
        <v>1.8853333333333333</v>
      </c>
      <c r="L64" s="43">
        <f>+E64*F64^2</f>
        <v>1.8957783933518007</v>
      </c>
      <c r="M64" s="43">
        <f>+K64+L64</f>
        <v>3.781111726685134</v>
      </c>
      <c r="N64" s="43">
        <f>+J64+M64</f>
        <v>46.56933644514346</v>
      </c>
    </row>
    <row r="65" spans="2:14" ht="12.75">
      <c r="B65" s="2" t="s">
        <v>93</v>
      </c>
      <c r="E65" s="44">
        <f>SUM(E62:E64)</f>
        <v>6.716499999999999</v>
      </c>
      <c r="F65" s="59"/>
      <c r="G65" s="5"/>
      <c r="H65" s="44"/>
      <c r="I65" s="5"/>
      <c r="J65" s="51">
        <f>SUM(J62:J64)</f>
        <v>124.78549110358333</v>
      </c>
      <c r="M65" s="44">
        <f>SUM(M62:M64)</f>
        <v>10.360212274006031</v>
      </c>
      <c r="N65" s="44">
        <f>SUM(N62:N64)</f>
        <v>135.14570337758937</v>
      </c>
    </row>
    <row r="66" spans="3:5" ht="12.75">
      <c r="C66" s="2" t="s">
        <v>135</v>
      </c>
      <c r="D66" s="16">
        <f>+E65</f>
        <v>6.716499999999999</v>
      </c>
      <c r="E66" s="2" t="s">
        <v>11</v>
      </c>
    </row>
    <row r="67" spans="3:5" ht="12.75">
      <c r="C67" s="2" t="s">
        <v>136</v>
      </c>
      <c r="D67" s="16">
        <f>+N65</f>
        <v>135.14570337758937</v>
      </c>
      <c r="E67" s="2" t="s">
        <v>11</v>
      </c>
    </row>
    <row r="69" ht="12.75">
      <c r="B69" s="2" t="s">
        <v>113</v>
      </c>
    </row>
    <row r="71" spans="2:10" ht="12.75">
      <c r="B71" s="3" t="s">
        <v>118</v>
      </c>
      <c r="J71" s="3" t="s">
        <v>152</v>
      </c>
    </row>
    <row r="72" spans="3:13" ht="12.75">
      <c r="C72" s="2" t="s">
        <v>125</v>
      </c>
      <c r="E72" s="2" t="s">
        <v>126</v>
      </c>
      <c r="H72" s="5" t="s">
        <v>134</v>
      </c>
      <c r="K72" s="2" t="s">
        <v>125</v>
      </c>
      <c r="M72" s="2" t="s">
        <v>126</v>
      </c>
    </row>
    <row r="73" spans="2:16" ht="12.75">
      <c r="B73" s="5" t="s">
        <v>124</v>
      </c>
      <c r="C73" s="5" t="s">
        <v>119</v>
      </c>
      <c r="D73" s="5" t="s">
        <v>120</v>
      </c>
      <c r="E73" s="2" t="s">
        <v>129</v>
      </c>
      <c r="F73" s="5" t="s">
        <v>119</v>
      </c>
      <c r="G73" s="5" t="s">
        <v>120</v>
      </c>
      <c r="H73" s="5" t="s">
        <v>140</v>
      </c>
      <c r="J73" s="5" t="s">
        <v>124</v>
      </c>
      <c r="K73" s="5" t="s">
        <v>119</v>
      </c>
      <c r="L73" s="5" t="s">
        <v>120</v>
      </c>
      <c r="M73" s="2" t="s">
        <v>129</v>
      </c>
      <c r="N73" s="5" t="s">
        <v>119</v>
      </c>
      <c r="O73" s="5" t="s">
        <v>120</v>
      </c>
      <c r="P73" s="5" t="s">
        <v>134</v>
      </c>
    </row>
    <row r="74" spans="2:16" ht="12.75">
      <c r="B74" s="30"/>
      <c r="C74" s="30" t="s">
        <v>64</v>
      </c>
      <c r="D74" s="30" t="s">
        <v>64</v>
      </c>
      <c r="E74" s="30" t="s">
        <v>64</v>
      </c>
      <c r="F74" s="30" t="s">
        <v>64</v>
      </c>
      <c r="G74" s="30" t="s">
        <v>64</v>
      </c>
      <c r="H74" s="30" t="s">
        <v>64</v>
      </c>
      <c r="J74" s="30"/>
      <c r="K74" s="7" t="s">
        <v>137</v>
      </c>
      <c r="L74" s="7" t="s">
        <v>137</v>
      </c>
      <c r="M74" s="7" t="s">
        <v>137</v>
      </c>
      <c r="N74" s="7" t="s">
        <v>137</v>
      </c>
      <c r="O74" s="7" t="s">
        <v>137</v>
      </c>
      <c r="P74" s="7" t="s">
        <v>137</v>
      </c>
    </row>
    <row r="75" spans="2:16" ht="12.75">
      <c r="B75" s="7" t="s">
        <v>121</v>
      </c>
      <c r="C75" s="39">
        <f>-E29/E65</f>
        <v>1.3444063483481543</v>
      </c>
      <c r="D75" s="47">
        <f>-E30/E65</f>
        <v>7.6245072815655215</v>
      </c>
      <c r="E75" s="47">
        <f>-E$31*E46/N$65</f>
        <v>19.522010123417544</v>
      </c>
      <c r="F75" s="39">
        <f>-E75*D46/E46</f>
        <v>-16.929875999146336</v>
      </c>
      <c r="G75" s="39">
        <f>+E75*C46/E46</f>
        <v>9.720502966017035</v>
      </c>
      <c r="H75" s="47">
        <f>SQRT((C75+F75)^2+(D75+G75)^2)</f>
        <v>23.318581533290036</v>
      </c>
      <c r="J75" s="7" t="s">
        <v>121</v>
      </c>
      <c r="K75" s="39">
        <f>-K29/E$65</f>
        <v>0.9048888883112577</v>
      </c>
      <c r="L75" s="47">
        <f>-K30/E$65</f>
        <v>5.131879901053717</v>
      </c>
      <c r="M75" s="47">
        <f>-K$31*E46/N$65</f>
        <v>13.139814506146422</v>
      </c>
      <c r="N75" s="39">
        <f>-M75*D46/E46</f>
        <v>-11.395108845579262</v>
      </c>
      <c r="O75" s="39">
        <f>+M75*C46/E46</f>
        <v>6.542646227126849</v>
      </c>
      <c r="P75" s="47">
        <f>SQRT((K75+N75)^2+(L75+O75)^2)</f>
        <v>15.695199108945216</v>
      </c>
    </row>
    <row r="76" spans="2:16" ht="12.75">
      <c r="B76" s="11" t="s">
        <v>122</v>
      </c>
      <c r="C76" s="41">
        <f aca="true" t="shared" si="1" ref="C76:D78">+C75</f>
        <v>1.3444063483481543</v>
      </c>
      <c r="D76" s="41">
        <f t="shared" si="1"/>
        <v>7.6245072815655215</v>
      </c>
      <c r="E76" s="48">
        <f>-E$31*E47/N$65</f>
        <v>17.127167327514563</v>
      </c>
      <c r="F76" s="41">
        <f>-E76*D47/E47</f>
        <v>-16.929875999146333</v>
      </c>
      <c r="G76" s="41">
        <f>+E76*C47/E47</f>
        <v>-2.592134124271209</v>
      </c>
      <c r="H76" s="48">
        <f>SQRT((C76+F76)^2+(D76+G76)^2)</f>
        <v>16.377778965116345</v>
      </c>
      <c r="J76" s="11" t="s">
        <v>122</v>
      </c>
      <c r="K76" s="41">
        <f aca="true" t="shared" si="2" ref="K76:L78">+K75</f>
        <v>0.9048888883112577</v>
      </c>
      <c r="L76" s="48">
        <f t="shared" si="2"/>
        <v>5.131879901053717</v>
      </c>
      <c r="M76" s="48">
        <f>-K$31*E47/N$65</f>
        <v>11.52790108582711</v>
      </c>
      <c r="N76" s="41">
        <f>-M76*D47/E47</f>
        <v>-11.395108845579264</v>
      </c>
      <c r="O76" s="41">
        <f>+M76*C47/E47</f>
        <v>-1.7447056605671598</v>
      </c>
      <c r="P76" s="48">
        <f>SQRT((K76+N76)^2+(L76+O76)^2)</f>
        <v>11.023505072674464</v>
      </c>
    </row>
    <row r="77" spans="2:16" ht="12.75">
      <c r="B77" s="11" t="s">
        <v>123</v>
      </c>
      <c r="C77" s="41">
        <f t="shared" si="1"/>
        <v>1.3444063483481543</v>
      </c>
      <c r="D77" s="41">
        <f t="shared" si="1"/>
        <v>7.6245072815655215</v>
      </c>
      <c r="E77" s="48">
        <f>-E$31*E48/N$65</f>
        <v>17.127167327514563</v>
      </c>
      <c r="F77" s="41">
        <f>-E77*D48/E48</f>
        <v>16.929875999146333</v>
      </c>
      <c r="G77" s="41">
        <f>+E77*C48/E48</f>
        <v>-2.592134124271209</v>
      </c>
      <c r="H77" s="48">
        <f>SQRT((C77+F77)^2+(D77+G77)^2)</f>
        <v>18.954529139765118</v>
      </c>
      <c r="J77" s="11" t="s">
        <v>123</v>
      </c>
      <c r="K77" s="41">
        <f t="shared" si="2"/>
        <v>0.9048888883112577</v>
      </c>
      <c r="L77" s="48">
        <f t="shared" si="2"/>
        <v>5.131879901053717</v>
      </c>
      <c r="M77" s="48">
        <f>-K$31*E48/N$65</f>
        <v>11.52790108582711</v>
      </c>
      <c r="N77" s="41">
        <f>-M77*D48/E48</f>
        <v>11.395108845579264</v>
      </c>
      <c r="O77" s="41">
        <f>+M77*C48/E48</f>
        <v>-1.7447056605671598</v>
      </c>
      <c r="P77" s="48">
        <f>SQRT((K77+N77)^2+(L77+O77)^2)</f>
        <v>12.757856151764983</v>
      </c>
    </row>
    <row r="78" spans="2:16" ht="12.75">
      <c r="B78" s="10" t="s">
        <v>0</v>
      </c>
      <c r="C78" s="43">
        <f t="shared" si="1"/>
        <v>1.3444063483481543</v>
      </c>
      <c r="D78" s="43">
        <f t="shared" si="1"/>
        <v>7.6245072815655215</v>
      </c>
      <c r="E78" s="49">
        <f>-E$31*E49/N$65</f>
        <v>19.522010123417544</v>
      </c>
      <c r="F78" s="43">
        <f>-E78*D49/E49</f>
        <v>16.929875999146336</v>
      </c>
      <c r="G78" s="43">
        <f>+E78*C49/E49</f>
        <v>9.720502966017035</v>
      </c>
      <c r="H78" s="49">
        <f>SQRT((C78+F78)^2+(D78+G78)^2)</f>
        <v>25.19521335104533</v>
      </c>
      <c r="J78" s="10" t="s">
        <v>0</v>
      </c>
      <c r="K78" s="43">
        <f t="shared" si="2"/>
        <v>0.9048888883112577</v>
      </c>
      <c r="L78" s="49">
        <f t="shared" si="2"/>
        <v>5.131879901053717</v>
      </c>
      <c r="M78" s="49">
        <f>-K$31*E49/N$65</f>
        <v>13.139814506146422</v>
      </c>
      <c r="N78" s="43">
        <f>-M78*D49/E49</f>
        <v>11.395108845579262</v>
      </c>
      <c r="O78" s="43">
        <f>+M78*C49/E49</f>
        <v>6.542646227126849</v>
      </c>
      <c r="P78" s="49">
        <f>SQRT((K78+N78)^2+(L78+O78)^2)</f>
        <v>16.958316678588197</v>
      </c>
    </row>
    <row r="79" spans="7:16" ht="12.75">
      <c r="G79" s="2" t="s">
        <v>138</v>
      </c>
      <c r="H79" s="51">
        <f>MAX(H75:H78)</f>
        <v>25.19521335104533</v>
      </c>
      <c r="O79" s="2" t="s">
        <v>138</v>
      </c>
      <c r="P79" s="51">
        <f>MAX(P75:P78)</f>
        <v>16.958316678588197</v>
      </c>
    </row>
    <row r="81" spans="2:11" ht="12.75">
      <c r="B81" s="2" t="s">
        <v>144</v>
      </c>
      <c r="C81" s="2">
        <v>0.75</v>
      </c>
      <c r="J81" s="2" t="s">
        <v>148</v>
      </c>
      <c r="K81" s="2">
        <v>2</v>
      </c>
    </row>
    <row r="82" spans="2:10" ht="15.75">
      <c r="B82" s="2" t="s">
        <v>139</v>
      </c>
      <c r="J82" s="2" t="s">
        <v>149</v>
      </c>
    </row>
    <row r="83" spans="2:10" ht="15.75">
      <c r="B83" s="2" t="s">
        <v>145</v>
      </c>
      <c r="J83" s="2" t="s">
        <v>150</v>
      </c>
    </row>
    <row r="84" spans="2:13" ht="12.75">
      <c r="B84" s="15">
        <f>+H79</f>
        <v>25.19521335104533</v>
      </c>
      <c r="C84" s="2" t="s">
        <v>217</v>
      </c>
      <c r="D84" s="2">
        <f>+C81*0.6*C15</f>
        <v>26.999999999999996</v>
      </c>
      <c r="E84" s="2" t="s">
        <v>6</v>
      </c>
      <c r="J84" s="15">
        <f>+P79</f>
        <v>16.958316678588197</v>
      </c>
      <c r="K84" s="2" t="s">
        <v>217</v>
      </c>
      <c r="L84" s="2">
        <f>0.6*C15/K81</f>
        <v>18</v>
      </c>
      <c r="M84" s="2" t="s">
        <v>6</v>
      </c>
    </row>
    <row r="86" spans="2:13" ht="15.75">
      <c r="B86" s="2" t="s">
        <v>218</v>
      </c>
      <c r="D86" s="60">
        <f>+B84/D84</f>
        <v>0.933156050038716</v>
      </c>
      <c r="E86" s="2" t="str">
        <f>IF(D86&lt;=1,"Good","No Good")</f>
        <v>Good</v>
      </c>
      <c r="J86" s="2" t="s">
        <v>219</v>
      </c>
      <c r="L86" s="60">
        <f>+J84/L84</f>
        <v>0.9421287043660109</v>
      </c>
      <c r="M86" s="2" t="str">
        <f>IF(L86&lt;=1,"Good","No Good")</f>
        <v>Good</v>
      </c>
    </row>
    <row r="87" spans="3:11" ht="12.75">
      <c r="C87" s="13"/>
      <c r="K87" s="13"/>
    </row>
    <row r="88" spans="2:12" ht="12.75">
      <c r="B88" s="57" t="s">
        <v>146</v>
      </c>
      <c r="C88" s="84" t="s">
        <v>147</v>
      </c>
      <c r="D88" s="61"/>
      <c r="J88" s="57" t="s">
        <v>146</v>
      </c>
      <c r="K88" s="84" t="s">
        <v>147</v>
      </c>
      <c r="L88" s="61"/>
    </row>
    <row r="90" ht="12.75">
      <c r="A90" s="3" t="s">
        <v>156</v>
      </c>
    </row>
    <row r="92" ht="12.75">
      <c r="B92" s="2" t="s">
        <v>157</v>
      </c>
    </row>
    <row r="94" spans="2:4" ht="12.75">
      <c r="B94" s="57" t="s">
        <v>55</v>
      </c>
      <c r="C94" s="84">
        <v>4</v>
      </c>
      <c r="D94" s="58" t="s">
        <v>76</v>
      </c>
    </row>
    <row r="95" spans="2:12" ht="12.75">
      <c r="B95" s="2" t="s">
        <v>55</v>
      </c>
      <c r="C95" s="2">
        <f>+C94/16</f>
        <v>0.25</v>
      </c>
      <c r="D95" s="2" t="s">
        <v>9</v>
      </c>
      <c r="J95" s="56"/>
      <c r="K95" s="62"/>
      <c r="L95" s="62"/>
    </row>
    <row r="96" spans="2:4" ht="12.75">
      <c r="B96" s="2" t="s">
        <v>16</v>
      </c>
      <c r="C96" s="13">
        <f>+C94*0.707/16</f>
        <v>0.17675</v>
      </c>
      <c r="D96" s="2" t="s">
        <v>9</v>
      </c>
    </row>
    <row r="97" ht="12.75">
      <c r="J97" s="62"/>
    </row>
    <row r="98" spans="3:11" ht="12.75">
      <c r="C98" s="2" t="s">
        <v>159</v>
      </c>
      <c r="H98" s="96" t="s">
        <v>175</v>
      </c>
      <c r="I98" s="31"/>
      <c r="J98" s="31"/>
      <c r="K98" s="90"/>
    </row>
    <row r="99" spans="3:11" ht="12.75">
      <c r="C99" s="5" t="s">
        <v>89</v>
      </c>
      <c r="D99" s="5" t="s">
        <v>90</v>
      </c>
      <c r="H99" s="91" t="s">
        <v>271</v>
      </c>
      <c r="I99" s="70">
        <f>ATAN(C10*PI()/180)</f>
        <v>0.1727924348551592</v>
      </c>
      <c r="J99" s="33"/>
      <c r="K99" s="92"/>
    </row>
    <row r="100" spans="3:11" ht="15.75">
      <c r="C100" s="30" t="s">
        <v>62</v>
      </c>
      <c r="D100" s="30" t="s">
        <v>62</v>
      </c>
      <c r="H100" s="91" t="s">
        <v>272</v>
      </c>
      <c r="I100" s="66">
        <f>((D103-D101)+(C103-C101)/I99)/(I99+1/I99)</f>
        <v>9.643814626828275</v>
      </c>
      <c r="J100" s="93" t="s">
        <v>9</v>
      </c>
      <c r="K100" s="92"/>
    </row>
    <row r="101" spans="2:11" ht="15.75">
      <c r="B101" s="5" t="s">
        <v>158</v>
      </c>
      <c r="C101" s="85">
        <v>-1.9264501640691833</v>
      </c>
      <c r="D101" s="85">
        <v>0.6835419850186057</v>
      </c>
      <c r="E101" s="89" t="s">
        <v>279</v>
      </c>
      <c r="H101" s="91" t="s">
        <v>273</v>
      </c>
      <c r="I101" s="66">
        <f>+I99*I100</f>
        <v>1.6663782106614562</v>
      </c>
      <c r="J101" s="93" t="s">
        <v>9</v>
      </c>
      <c r="K101" s="92"/>
    </row>
    <row r="102" spans="2:15" ht="12.75">
      <c r="B102" s="5" t="s">
        <v>176</v>
      </c>
      <c r="C102" s="44">
        <v>0</v>
      </c>
      <c r="D102" s="44">
        <v>0</v>
      </c>
      <c r="E102" s="2" t="str">
        <f>IF(ABS(H135)&gt;1,"Find new IC","Good IC")</f>
        <v>Good IC</v>
      </c>
      <c r="H102" s="91" t="s">
        <v>274</v>
      </c>
      <c r="I102" s="33"/>
      <c r="J102" s="33"/>
      <c r="K102" s="92"/>
      <c r="O102" s="5"/>
    </row>
    <row r="103" spans="2:15" ht="12.75">
      <c r="B103" s="5" t="s">
        <v>79</v>
      </c>
      <c r="C103" s="44">
        <f>+C11/COS(RADIANS(C10))</f>
        <v>8.123412895085961</v>
      </c>
      <c r="D103" s="44">
        <v>0</v>
      </c>
      <c r="H103" s="91" t="s">
        <v>275</v>
      </c>
      <c r="I103" s="33"/>
      <c r="J103" s="33"/>
      <c r="K103" s="92"/>
      <c r="O103" s="5"/>
    </row>
    <row r="104" spans="2:15" ht="12.75">
      <c r="B104" s="5"/>
      <c r="C104" s="44"/>
      <c r="D104" s="44"/>
      <c r="H104" s="91" t="s">
        <v>276</v>
      </c>
      <c r="I104" s="33"/>
      <c r="J104" s="33"/>
      <c r="K104" s="92"/>
      <c r="O104" s="5"/>
    </row>
    <row r="105" spans="2:15" ht="15.75">
      <c r="B105" s="2" t="s">
        <v>177</v>
      </c>
      <c r="C105" s="16">
        <f>SQRT(I100^2+I101^2)</f>
        <v>9.7867245234345</v>
      </c>
      <c r="D105" s="2" t="s">
        <v>179</v>
      </c>
      <c r="H105" s="94" t="s">
        <v>277</v>
      </c>
      <c r="I105" s="4"/>
      <c r="J105" s="4"/>
      <c r="K105" s="95"/>
      <c r="O105" s="5"/>
    </row>
    <row r="107" spans="9:12" ht="12.75">
      <c r="I107" s="5" t="s">
        <v>163</v>
      </c>
      <c r="K107" s="5" t="s">
        <v>166</v>
      </c>
      <c r="L107" s="5" t="s">
        <v>166</v>
      </c>
    </row>
    <row r="108" spans="3:14" ht="12.75">
      <c r="C108" s="5" t="s">
        <v>161</v>
      </c>
      <c r="D108" s="2" t="s">
        <v>159</v>
      </c>
      <c r="F108" s="2" t="s">
        <v>160</v>
      </c>
      <c r="I108" s="5" t="s">
        <v>161</v>
      </c>
      <c r="K108" s="89" t="s">
        <v>167</v>
      </c>
      <c r="L108" s="89" t="s">
        <v>269</v>
      </c>
      <c r="N108" s="5" t="s">
        <v>168</v>
      </c>
    </row>
    <row r="109" spans="1:21" ht="12.75">
      <c r="A109" s="5" t="s">
        <v>57</v>
      </c>
      <c r="B109" s="5" t="s">
        <v>58</v>
      </c>
      <c r="C109" s="5" t="s">
        <v>162</v>
      </c>
      <c r="D109" s="5" t="s">
        <v>89</v>
      </c>
      <c r="E109" s="5" t="s">
        <v>90</v>
      </c>
      <c r="F109" s="5" t="s">
        <v>89</v>
      </c>
      <c r="G109" s="5" t="s">
        <v>90</v>
      </c>
      <c r="H109" s="5" t="s">
        <v>128</v>
      </c>
      <c r="I109" s="5" t="s">
        <v>162</v>
      </c>
      <c r="J109" s="5" t="s">
        <v>59</v>
      </c>
      <c r="K109" s="37" t="s">
        <v>164</v>
      </c>
      <c r="L109" s="37" t="s">
        <v>268</v>
      </c>
      <c r="M109" s="37" t="s">
        <v>270</v>
      </c>
      <c r="N109" s="37" t="s">
        <v>0</v>
      </c>
      <c r="O109" s="5" t="s">
        <v>165</v>
      </c>
      <c r="P109" s="5" t="s">
        <v>169</v>
      </c>
      <c r="Q109" s="5" t="s">
        <v>61</v>
      </c>
      <c r="R109" s="5" t="s">
        <v>170</v>
      </c>
      <c r="S109" s="5" t="s">
        <v>171</v>
      </c>
      <c r="T109" s="5" t="s">
        <v>172</v>
      </c>
      <c r="U109" s="5" t="s">
        <v>180</v>
      </c>
    </row>
    <row r="110" spans="1:21" ht="12.75">
      <c r="A110" s="7"/>
      <c r="B110" s="7" t="s">
        <v>62</v>
      </c>
      <c r="C110" s="7" t="s">
        <v>63</v>
      </c>
      <c r="D110" s="7" t="s">
        <v>62</v>
      </c>
      <c r="E110" s="7" t="s">
        <v>62</v>
      </c>
      <c r="F110" s="7" t="s">
        <v>62</v>
      </c>
      <c r="G110" s="7" t="s">
        <v>62</v>
      </c>
      <c r="H110" s="63" t="s">
        <v>62</v>
      </c>
      <c r="I110" s="7" t="s">
        <v>63</v>
      </c>
      <c r="J110" s="7" t="s">
        <v>63</v>
      </c>
      <c r="K110" s="63" t="s">
        <v>62</v>
      </c>
      <c r="L110" s="63" t="s">
        <v>62</v>
      </c>
      <c r="M110" s="29"/>
      <c r="N110" s="63" t="s">
        <v>62</v>
      </c>
      <c r="O110" s="29"/>
      <c r="P110" s="29"/>
      <c r="Q110" s="30" t="s">
        <v>64</v>
      </c>
      <c r="R110" s="30" t="s">
        <v>68</v>
      </c>
      <c r="S110" s="30" t="s">
        <v>68</v>
      </c>
      <c r="T110" s="30" t="s">
        <v>68</v>
      </c>
      <c r="U110" s="62" t="s">
        <v>181</v>
      </c>
    </row>
    <row r="111" spans="1:21" ht="12.75">
      <c r="A111" s="7">
        <v>1</v>
      </c>
      <c r="B111" s="7">
        <v>1</v>
      </c>
      <c r="C111" s="7">
        <v>90</v>
      </c>
      <c r="D111" s="32">
        <f>+C37-D40-0.5</f>
        <v>2.6578947368421053</v>
      </c>
      <c r="E111" s="32">
        <f>+E40</f>
        <v>5.5</v>
      </c>
      <c r="F111" s="32">
        <f aca="true" t="shared" si="3" ref="F111:F129">+D111-C$101</f>
        <v>4.584344900911288</v>
      </c>
      <c r="G111" s="32">
        <f aca="true" t="shared" si="4" ref="G111:G129">+E111-D$101</f>
        <v>4.816458014981395</v>
      </c>
      <c r="H111" s="39">
        <f>SQRT(F111^2+G111^2)</f>
        <v>6.649397414848194</v>
      </c>
      <c r="I111" s="39">
        <f>-DEGREES(ATAN(G111/H111))</f>
        <v>-35.91750667021347</v>
      </c>
      <c r="J111" s="39">
        <f>+C111+I111</f>
        <v>54.08249332978653</v>
      </c>
      <c r="K111" s="64">
        <f aca="true" t="shared" si="5" ref="K111:K129">C$95*0.209*(ABS(J111)+2)^(-0.32)</f>
        <v>0.01440328500935135</v>
      </c>
      <c r="L111" s="64">
        <f aca="true" t="shared" si="6" ref="L111:L129">MIN(1.087*(ABS(J111)+6)^(-0.65),0.17)*C$95</f>
        <v>0.01896633369353325</v>
      </c>
      <c r="M111" s="65">
        <f>+L111/H111</f>
        <v>0.002852338717367257</v>
      </c>
      <c r="N111" s="28">
        <f>+H111*M$130</f>
        <v>0.016911016476737355</v>
      </c>
      <c r="O111" s="36">
        <f>+N111/K111</f>
        <v>1.1741082999994694</v>
      </c>
      <c r="P111" s="36">
        <f>+(O111*(1.9-0.9*O111))^(0.3)</f>
        <v>0.9970282604613984</v>
      </c>
      <c r="Q111" s="44">
        <f aca="true" t="shared" si="7" ref="Q111:Q129">0.6*(1+0.5*(SIN(RADIANS(ABS(J111))))^(1.5))*C$15</f>
        <v>49.11865736412273</v>
      </c>
      <c r="R111" s="44">
        <f aca="true" t="shared" si="8" ref="R111:R129">+Q111*B111*C$96</f>
        <v>8.681722689108692</v>
      </c>
      <c r="S111" s="44">
        <f>-R111*G111/H111</f>
        <v>-6.288562740501807</v>
      </c>
      <c r="T111" s="44">
        <f>+R111*F111/H111</f>
        <v>5.985506453873145</v>
      </c>
      <c r="U111" s="51">
        <f>+H111*R111</f>
        <v>57.72822440538825</v>
      </c>
    </row>
    <row r="112" spans="1:21" ht="12.75">
      <c r="A112" s="11">
        <v>2</v>
      </c>
      <c r="B112" s="11">
        <v>1</v>
      </c>
      <c r="C112" s="11">
        <f>+C111</f>
        <v>90</v>
      </c>
      <c r="D112" s="34">
        <f>+D111-B112</f>
        <v>1.6578947368421053</v>
      </c>
      <c r="E112" s="34">
        <f>+E111</f>
        <v>5.5</v>
      </c>
      <c r="F112" s="34">
        <f t="shared" si="3"/>
        <v>3.5843449009112884</v>
      </c>
      <c r="G112" s="34">
        <f t="shared" si="4"/>
        <v>4.816458014981395</v>
      </c>
      <c r="H112" s="41">
        <f aca="true" t="shared" si="9" ref="H112:H129">SQRT(F112^2+G112^2)</f>
        <v>6.0038151352924976</v>
      </c>
      <c r="I112" s="41">
        <f aca="true" t="shared" si="10" ref="I112:I129">-DEGREES(ATAN(G112/H112))</f>
        <v>-38.73773286010652</v>
      </c>
      <c r="J112" s="41">
        <f aca="true" t="shared" si="11" ref="J112:J125">+C112+I112</f>
        <v>51.26226713989348</v>
      </c>
      <c r="K112" s="64">
        <f t="shared" si="5"/>
        <v>0.014643065575443306</v>
      </c>
      <c r="L112" s="64">
        <f t="shared" si="6"/>
        <v>0.019568385822594594</v>
      </c>
      <c r="M112" s="65">
        <f aca="true" t="shared" si="12" ref="M112:M129">+L112/H112</f>
        <v>0.0032593251760143094</v>
      </c>
      <c r="N112" s="28">
        <f aca="true" t="shared" si="13" ref="N112:N129">+H112*M$130</f>
        <v>0.015269145509260331</v>
      </c>
      <c r="O112" s="36">
        <f aca="true" t="shared" si="14" ref="O112:O129">+N112/K112</f>
        <v>1.0427560697991392</v>
      </c>
      <c r="P112" s="36">
        <f aca="true" t="shared" si="15" ref="P112:P129">+(O112*(1.9-0.9*O112))^(0.3)</f>
        <v>1.0007883747098247</v>
      </c>
      <c r="Q112" s="44">
        <f t="shared" si="7"/>
        <v>48.4002328491234</v>
      </c>
      <c r="R112" s="44">
        <f t="shared" si="8"/>
        <v>8.55474115608256</v>
      </c>
      <c r="S112" s="44">
        <f aca="true" t="shared" si="16" ref="S112:S129">-R112*G112/H112</f>
        <v>-6.862894789197681</v>
      </c>
      <c r="T112" s="44">
        <f aca="true" t="shared" si="17" ref="T112:T129">+R112*F112/H112</f>
        <v>5.107276315216957</v>
      </c>
      <c r="U112" s="51">
        <f aca="true" t="shared" si="18" ref="U112:U129">+H112*R112</f>
        <v>51.36108443139811</v>
      </c>
    </row>
    <row r="113" spans="1:21" ht="12.75">
      <c r="A113" s="11">
        <v>3</v>
      </c>
      <c r="B113" s="11">
        <v>1</v>
      </c>
      <c r="C113" s="11">
        <f>+C112</f>
        <v>90</v>
      </c>
      <c r="D113" s="34">
        <f>+D112-B113</f>
        <v>0.6578947368421053</v>
      </c>
      <c r="E113" s="34">
        <f>+E112</f>
        <v>5.5</v>
      </c>
      <c r="F113" s="34">
        <f t="shared" si="3"/>
        <v>2.5843449009112884</v>
      </c>
      <c r="G113" s="34">
        <f t="shared" si="4"/>
        <v>4.816458014981395</v>
      </c>
      <c r="H113" s="41">
        <f t="shared" si="9"/>
        <v>5.465995460750466</v>
      </c>
      <c r="I113" s="41">
        <f t="shared" si="10"/>
        <v>-41.385456952522716</v>
      </c>
      <c r="J113" s="41">
        <f t="shared" si="11"/>
        <v>48.614543047477284</v>
      </c>
      <c r="K113" s="64">
        <f t="shared" si="5"/>
        <v>0.01488394965226517</v>
      </c>
      <c r="L113" s="64">
        <f t="shared" si="6"/>
        <v>0.02017990674487254</v>
      </c>
      <c r="M113" s="65">
        <f t="shared" si="12"/>
        <v>0.003691899653005181</v>
      </c>
      <c r="N113" s="28">
        <f t="shared" si="13"/>
        <v>0.013901340757902803</v>
      </c>
      <c r="O113" s="36">
        <f t="shared" si="14"/>
        <v>0.9339819794262187</v>
      </c>
      <c r="P113" s="36">
        <f t="shared" si="15"/>
        <v>0.9968309971974386</v>
      </c>
      <c r="Q113" s="44">
        <f t="shared" si="7"/>
        <v>47.6978650428905</v>
      </c>
      <c r="R113" s="44">
        <f t="shared" si="8"/>
        <v>8.430597646330895</v>
      </c>
      <c r="S113" s="44">
        <f t="shared" si="16"/>
        <v>-7.428769360737574</v>
      </c>
      <c r="T113" s="44">
        <f t="shared" si="17"/>
        <v>3.9860208804378674</v>
      </c>
      <c r="U113" s="51">
        <f t="shared" si="18"/>
        <v>46.08160846625823</v>
      </c>
    </row>
    <row r="114" spans="1:21" ht="12.75">
      <c r="A114" s="10">
        <v>4</v>
      </c>
      <c r="B114" s="10">
        <v>1</v>
      </c>
      <c r="C114" s="10">
        <f>+C113</f>
        <v>90</v>
      </c>
      <c r="D114" s="35">
        <f>+D113-B114</f>
        <v>-0.3421052631578947</v>
      </c>
      <c r="E114" s="35">
        <f>+E113</f>
        <v>5.5</v>
      </c>
      <c r="F114" s="35">
        <f t="shared" si="3"/>
        <v>1.5843449009112887</v>
      </c>
      <c r="G114" s="35">
        <f t="shared" si="4"/>
        <v>4.816458014981395</v>
      </c>
      <c r="H114" s="43">
        <f t="shared" si="9"/>
        <v>5.070346790419972</v>
      </c>
      <c r="I114" s="43">
        <f t="shared" si="10"/>
        <v>-43.52899300836457</v>
      </c>
      <c r="J114" s="43">
        <f t="shared" si="11"/>
        <v>46.47100699163543</v>
      </c>
      <c r="K114" s="64">
        <f t="shared" si="5"/>
        <v>0.015091487253132457</v>
      </c>
      <c r="L114" s="64">
        <f t="shared" si="6"/>
        <v>0.02071199551634602</v>
      </c>
      <c r="M114" s="65">
        <f t="shared" si="12"/>
        <v>0.004084926805298551</v>
      </c>
      <c r="N114" s="28">
        <f t="shared" si="13"/>
        <v>0.012895111055340957</v>
      </c>
      <c r="O114" s="36">
        <f t="shared" si="14"/>
        <v>0.8544625747647495</v>
      </c>
      <c r="P114" s="36">
        <f t="shared" si="15"/>
        <v>0.9897939967021858</v>
      </c>
      <c r="Q114" s="44">
        <f t="shared" si="7"/>
        <v>47.11227129675043</v>
      </c>
      <c r="R114" s="44">
        <f t="shared" si="8"/>
        <v>8.327093951700638</v>
      </c>
      <c r="S114" s="44">
        <f t="shared" si="16"/>
        <v>-7.910129240262401</v>
      </c>
      <c r="T114" s="44">
        <f t="shared" si="17"/>
        <v>2.60198944709527</v>
      </c>
      <c r="U114" s="51">
        <f t="shared" si="18"/>
        <v>42.22125409153089</v>
      </c>
    </row>
    <row r="115" spans="1:21" ht="12.75">
      <c r="A115" s="5">
        <v>5</v>
      </c>
      <c r="B115" s="5">
        <v>1</v>
      </c>
      <c r="C115" s="5">
        <v>0</v>
      </c>
      <c r="D115" s="36">
        <f>+D114-B114/2</f>
        <v>-0.8421052631578947</v>
      </c>
      <c r="E115" s="36">
        <f>+E114-B115/2</f>
        <v>5</v>
      </c>
      <c r="F115" s="36">
        <f t="shared" si="3"/>
        <v>1.0843449009112887</v>
      </c>
      <c r="G115" s="36">
        <f t="shared" si="4"/>
        <v>4.316458014981395</v>
      </c>
      <c r="H115" s="44">
        <f t="shared" si="9"/>
        <v>4.450574531364398</v>
      </c>
      <c r="I115" s="44">
        <f t="shared" si="10"/>
        <v>-44.123567642856834</v>
      </c>
      <c r="J115" s="44">
        <f>+C115+I115</f>
        <v>-44.123567642856834</v>
      </c>
      <c r="K115" s="38">
        <f t="shared" si="5"/>
        <v>0.015333135345139116</v>
      </c>
      <c r="L115" s="38">
        <f t="shared" si="6"/>
        <v>0.02133743783746893</v>
      </c>
      <c r="M115" s="67">
        <f t="shared" si="12"/>
        <v>0.0047943108664057306</v>
      </c>
      <c r="N115" s="68">
        <f t="shared" si="13"/>
        <v>0.011318881176027475</v>
      </c>
      <c r="O115" s="32">
        <f t="shared" si="14"/>
        <v>0.7381974345915995</v>
      </c>
      <c r="P115" s="32">
        <f t="shared" si="15"/>
        <v>0.9727863806837886</v>
      </c>
      <c r="Q115" s="39">
        <f t="shared" si="7"/>
        <v>46.45637470311225</v>
      </c>
      <c r="R115" s="39">
        <f t="shared" si="8"/>
        <v>8.21116422877509</v>
      </c>
      <c r="S115" s="39">
        <f t="shared" si="16"/>
        <v>-7.963723649126053</v>
      </c>
      <c r="T115" s="39">
        <f t="shared" si="17"/>
        <v>2.00058082372746</v>
      </c>
      <c r="U115" s="51">
        <f t="shared" si="18"/>
        <v>36.54439838943681</v>
      </c>
    </row>
    <row r="116" spans="1:21" ht="12.75">
      <c r="A116" s="5">
        <v>6</v>
      </c>
      <c r="B116" s="5">
        <v>1</v>
      </c>
      <c r="C116" s="5">
        <f>+C115</f>
        <v>0</v>
      </c>
      <c r="D116" s="36">
        <f>+D115</f>
        <v>-0.8421052631578947</v>
      </c>
      <c r="E116" s="36">
        <f aca="true" t="shared" si="19" ref="E116:E125">+E115-B115</f>
        <v>4</v>
      </c>
      <c r="F116" s="36">
        <f t="shared" si="3"/>
        <v>1.0843449009112887</v>
      </c>
      <c r="G116" s="36">
        <f t="shared" si="4"/>
        <v>3.3164580149813943</v>
      </c>
      <c r="H116" s="44">
        <f t="shared" si="9"/>
        <v>3.4892259355431032</v>
      </c>
      <c r="I116" s="44">
        <f t="shared" si="10"/>
        <v>-43.54581153539502</v>
      </c>
      <c r="J116" s="44">
        <f t="shared" si="11"/>
        <v>-43.54581153539502</v>
      </c>
      <c r="K116" s="40">
        <f t="shared" si="5"/>
        <v>0.015395109862711552</v>
      </c>
      <c r="L116" s="40">
        <f t="shared" si="6"/>
        <v>0.021498840498134844</v>
      </c>
      <c r="M116" s="69">
        <f t="shared" si="12"/>
        <v>0.006161492805363009</v>
      </c>
      <c r="N116" s="70">
        <f t="shared" si="13"/>
        <v>0.008873940540125748</v>
      </c>
      <c r="O116" s="34">
        <f t="shared" si="14"/>
        <v>0.5764129401648047</v>
      </c>
      <c r="P116" s="34">
        <f t="shared" si="15"/>
        <v>0.9338986810991472</v>
      </c>
      <c r="Q116" s="41">
        <f t="shared" si="7"/>
        <v>46.29293551240964</v>
      </c>
      <c r="R116" s="41">
        <f t="shared" si="8"/>
        <v>8.182276351818404</v>
      </c>
      <c r="S116" s="41">
        <f t="shared" si="16"/>
        <v>-7.777133521609308</v>
      </c>
      <c r="T116" s="41">
        <f t="shared" si="17"/>
        <v>2.5428016998160667</v>
      </c>
      <c r="U116" s="51">
        <f t="shared" si="18"/>
        <v>28.54981085854578</v>
      </c>
    </row>
    <row r="117" spans="1:21" ht="12.75">
      <c r="A117" s="5">
        <v>7</v>
      </c>
      <c r="B117" s="5">
        <v>1</v>
      </c>
      <c r="C117" s="5">
        <f aca="true" t="shared" si="20" ref="C117:C125">+C116</f>
        <v>0</v>
      </c>
      <c r="D117" s="36">
        <f aca="true" t="shared" si="21" ref="D117:D125">+D116</f>
        <v>-0.8421052631578947</v>
      </c>
      <c r="E117" s="36">
        <f t="shared" si="19"/>
        <v>3</v>
      </c>
      <c r="F117" s="36">
        <f t="shared" si="3"/>
        <v>1.0843449009112887</v>
      </c>
      <c r="G117" s="36">
        <f t="shared" si="4"/>
        <v>2.3164580149813943</v>
      </c>
      <c r="H117" s="44">
        <f t="shared" si="9"/>
        <v>2.557690677017816</v>
      </c>
      <c r="I117" s="44">
        <f t="shared" si="10"/>
        <v>-42.16661399360801</v>
      </c>
      <c r="J117" s="44">
        <f t="shared" si="11"/>
        <v>-42.16661399360801</v>
      </c>
      <c r="K117" s="40">
        <f t="shared" si="5"/>
        <v>0.015547343038174007</v>
      </c>
      <c r="L117" s="40">
        <f t="shared" si="6"/>
        <v>0.021896997884797192</v>
      </c>
      <c r="M117" s="69">
        <f t="shared" si="12"/>
        <v>0.008561237713986735</v>
      </c>
      <c r="N117" s="70">
        <f t="shared" si="13"/>
        <v>0.006504822389598936</v>
      </c>
      <c r="O117" s="34">
        <f t="shared" si="14"/>
        <v>0.4183880405563438</v>
      </c>
      <c r="P117" s="34">
        <f t="shared" si="15"/>
        <v>0.8736194720128273</v>
      </c>
      <c r="Q117" s="41">
        <f t="shared" si="7"/>
        <v>45.90003245635148</v>
      </c>
      <c r="R117" s="41">
        <f t="shared" si="8"/>
        <v>8.112830736660124</v>
      </c>
      <c r="S117" s="41">
        <f t="shared" si="16"/>
        <v>-7.347656209169052</v>
      </c>
      <c r="T117" s="41">
        <f t="shared" si="17"/>
        <v>3.439472458612907</v>
      </c>
      <c r="U117" s="51">
        <f t="shared" si="18"/>
        <v>20.75011153937918</v>
      </c>
    </row>
    <row r="118" spans="1:21" ht="12.75">
      <c r="A118" s="5">
        <v>8</v>
      </c>
      <c r="B118" s="5">
        <v>1</v>
      </c>
      <c r="C118" s="5">
        <f t="shared" si="20"/>
        <v>0</v>
      </c>
      <c r="D118" s="36">
        <f t="shared" si="21"/>
        <v>-0.8421052631578947</v>
      </c>
      <c r="E118" s="36">
        <f t="shared" si="19"/>
        <v>2</v>
      </c>
      <c r="F118" s="36">
        <f t="shared" si="3"/>
        <v>1.0843449009112887</v>
      </c>
      <c r="G118" s="36">
        <f t="shared" si="4"/>
        <v>1.3164580149813943</v>
      </c>
      <c r="H118" s="44">
        <f t="shared" si="9"/>
        <v>1.705539670995977</v>
      </c>
      <c r="I118" s="44">
        <f t="shared" si="10"/>
        <v>-37.6635387429591</v>
      </c>
      <c r="J118" s="44">
        <f t="shared" si="11"/>
        <v>-37.6635387429591</v>
      </c>
      <c r="K118" s="40">
        <f t="shared" si="5"/>
        <v>0.016091666673775307</v>
      </c>
      <c r="L118" s="40">
        <f t="shared" si="6"/>
        <v>0.02333953761725304</v>
      </c>
      <c r="M118" s="69">
        <f t="shared" si="12"/>
        <v>0.013684546899822944</v>
      </c>
      <c r="N118" s="70">
        <f t="shared" si="13"/>
        <v>0.00433759748116975</v>
      </c>
      <c r="O118" s="34">
        <f t="shared" si="14"/>
        <v>0.2695555139877935</v>
      </c>
      <c r="P118" s="34">
        <f t="shared" si="15"/>
        <v>0.7852766234557982</v>
      </c>
      <c r="Q118" s="41">
        <f t="shared" si="7"/>
        <v>44.59724445154187</v>
      </c>
      <c r="R118" s="41">
        <f t="shared" si="8"/>
        <v>7.882562956810025</v>
      </c>
      <c r="S118" s="41">
        <f t="shared" si="16"/>
        <v>-6.084328239065905</v>
      </c>
      <c r="T118" s="41">
        <f t="shared" si="17"/>
        <v>5.011561497914476</v>
      </c>
      <c r="U118" s="51">
        <f t="shared" si="18"/>
        <v>13.444023831962845</v>
      </c>
    </row>
    <row r="119" spans="1:21" ht="12.75">
      <c r="A119" s="5">
        <v>9</v>
      </c>
      <c r="B119" s="5">
        <v>1</v>
      </c>
      <c r="C119" s="5">
        <f t="shared" si="20"/>
        <v>0</v>
      </c>
      <c r="D119" s="36">
        <f t="shared" si="21"/>
        <v>-0.8421052631578947</v>
      </c>
      <c r="E119" s="36">
        <f t="shared" si="19"/>
        <v>1</v>
      </c>
      <c r="F119" s="36">
        <f t="shared" si="3"/>
        <v>1.0843449009112887</v>
      </c>
      <c r="G119" s="36">
        <f t="shared" si="4"/>
        <v>0.31645801498139425</v>
      </c>
      <c r="H119" s="44">
        <f t="shared" si="9"/>
        <v>1.1295793639130793</v>
      </c>
      <c r="I119" s="44">
        <f t="shared" si="10"/>
        <v>-15.650514643277175</v>
      </c>
      <c r="J119" s="44">
        <f t="shared" si="11"/>
        <v>-15.650514643277175</v>
      </c>
      <c r="K119" s="40">
        <f t="shared" si="5"/>
        <v>0.020850858233098457</v>
      </c>
      <c r="L119" s="40">
        <f t="shared" si="6"/>
        <v>0.03682266416346774</v>
      </c>
      <c r="M119" s="69">
        <f t="shared" si="12"/>
        <v>0.03259856309335094</v>
      </c>
      <c r="N119" s="70">
        <f t="shared" si="13"/>
        <v>0.0028727919303275238</v>
      </c>
      <c r="O119" s="34">
        <f t="shared" si="14"/>
        <v>0.13777811436880238</v>
      </c>
      <c r="P119" s="34">
        <f t="shared" si="15"/>
        <v>0.6555214952210402</v>
      </c>
      <c r="Q119" s="41">
        <f t="shared" si="7"/>
        <v>38.52208832093461</v>
      </c>
      <c r="R119" s="41">
        <f t="shared" si="8"/>
        <v>6.808779110725191</v>
      </c>
      <c r="S119" s="41">
        <f t="shared" si="16"/>
        <v>-1.9075177810991593</v>
      </c>
      <c r="T119" s="41">
        <f t="shared" si="17"/>
        <v>6.536118794318098</v>
      </c>
      <c r="U119" s="51">
        <f t="shared" si="18"/>
        <v>7.691056376917623</v>
      </c>
    </row>
    <row r="120" spans="1:21" ht="12.75">
      <c r="A120" s="5">
        <v>10</v>
      </c>
      <c r="B120" s="5">
        <v>1</v>
      </c>
      <c r="C120" s="5">
        <f t="shared" si="20"/>
        <v>0</v>
      </c>
      <c r="D120" s="36">
        <f t="shared" si="21"/>
        <v>-0.8421052631578947</v>
      </c>
      <c r="E120" s="36">
        <f t="shared" si="19"/>
        <v>0</v>
      </c>
      <c r="F120" s="36">
        <f t="shared" si="3"/>
        <v>1.0843449009112887</v>
      </c>
      <c r="G120" s="36">
        <f t="shared" si="4"/>
        <v>-0.6835419850186057</v>
      </c>
      <c r="H120" s="44">
        <f t="shared" si="9"/>
        <v>1.2818086867452132</v>
      </c>
      <c r="I120" s="44">
        <f t="shared" si="10"/>
        <v>28.06937866384829</v>
      </c>
      <c r="J120" s="44">
        <f t="shared" si="11"/>
        <v>28.06937866384829</v>
      </c>
      <c r="K120" s="40">
        <f t="shared" si="5"/>
        <v>0.01758273657114543</v>
      </c>
      <c r="L120" s="40">
        <f t="shared" si="6"/>
        <v>0.027424127170496568</v>
      </c>
      <c r="M120" s="69">
        <f t="shared" si="12"/>
        <v>0.021394867622665518</v>
      </c>
      <c r="N120" s="70">
        <f t="shared" si="13"/>
        <v>0.003259947701902888</v>
      </c>
      <c r="O120" s="34">
        <f t="shared" si="14"/>
        <v>0.18540616181742167</v>
      </c>
      <c r="P120" s="34">
        <f t="shared" si="15"/>
        <v>0.7113558802450056</v>
      </c>
      <c r="Q120" s="41">
        <f t="shared" si="7"/>
        <v>41.8098890100429</v>
      </c>
      <c r="R120" s="41">
        <f t="shared" si="8"/>
        <v>7.389897882525083</v>
      </c>
      <c r="S120" s="41">
        <f t="shared" si="16"/>
        <v>3.940763953263831</v>
      </c>
      <c r="T120" s="41">
        <f t="shared" si="17"/>
        <v>6.25147743967817</v>
      </c>
      <c r="U120" s="51">
        <f t="shared" si="18"/>
        <v>9.472435299980708</v>
      </c>
    </row>
    <row r="121" spans="1:21" ht="12.75">
      <c r="A121" s="5">
        <v>11</v>
      </c>
      <c r="B121" s="5">
        <v>1</v>
      </c>
      <c r="C121" s="5">
        <f t="shared" si="20"/>
        <v>0</v>
      </c>
      <c r="D121" s="36">
        <f t="shared" si="21"/>
        <v>-0.8421052631578947</v>
      </c>
      <c r="E121" s="36">
        <f t="shared" si="19"/>
        <v>-1</v>
      </c>
      <c r="F121" s="36">
        <f t="shared" si="3"/>
        <v>1.0843449009112887</v>
      </c>
      <c r="G121" s="36">
        <f t="shared" si="4"/>
        <v>-1.6835419850186057</v>
      </c>
      <c r="H121" s="44">
        <f t="shared" si="9"/>
        <v>2.002527772454779</v>
      </c>
      <c r="I121" s="44">
        <f t="shared" si="10"/>
        <v>40.0540491666313</v>
      </c>
      <c r="J121" s="44">
        <f t="shared" si="11"/>
        <v>40.0540491666313</v>
      </c>
      <c r="K121" s="40">
        <f t="shared" si="5"/>
        <v>0.015793114826211905</v>
      </c>
      <c r="L121" s="40">
        <f t="shared" si="6"/>
        <v>0.02254475237890138</v>
      </c>
      <c r="M121" s="69">
        <f t="shared" si="12"/>
        <v>0.011258147172293705</v>
      </c>
      <c r="N121" s="70">
        <f t="shared" si="13"/>
        <v>0.0050929096341100644</v>
      </c>
      <c r="O121" s="34">
        <f t="shared" si="14"/>
        <v>0.32247657856937373</v>
      </c>
      <c r="P121" s="34">
        <f t="shared" si="15"/>
        <v>0.8214453762928137</v>
      </c>
      <c r="Q121" s="41">
        <f t="shared" si="7"/>
        <v>45.29191900725985</v>
      </c>
      <c r="R121" s="41">
        <f t="shared" si="8"/>
        <v>8.005346684533178</v>
      </c>
      <c r="S121" s="41">
        <f t="shared" si="16"/>
        <v>6.730162464373735</v>
      </c>
      <c r="T121" s="41">
        <f t="shared" si="17"/>
        <v>4.334799735016742</v>
      </c>
      <c r="U121" s="51">
        <f t="shared" si="18"/>
        <v>16.030929063906473</v>
      </c>
    </row>
    <row r="122" spans="1:21" ht="12.75">
      <c r="A122" s="5">
        <v>12</v>
      </c>
      <c r="B122" s="5">
        <v>1</v>
      </c>
      <c r="C122" s="5">
        <f t="shared" si="20"/>
        <v>0</v>
      </c>
      <c r="D122" s="36">
        <f t="shared" si="21"/>
        <v>-0.8421052631578947</v>
      </c>
      <c r="E122" s="36">
        <f t="shared" si="19"/>
        <v>-2</v>
      </c>
      <c r="F122" s="36">
        <f t="shared" si="3"/>
        <v>1.0843449009112887</v>
      </c>
      <c r="G122" s="36">
        <f t="shared" si="4"/>
        <v>-2.6835419850186057</v>
      </c>
      <c r="H122" s="44">
        <f t="shared" si="9"/>
        <v>2.894339553246977</v>
      </c>
      <c r="I122" s="44">
        <f t="shared" si="10"/>
        <v>42.835725635307725</v>
      </c>
      <c r="J122" s="44">
        <f t="shared" si="11"/>
        <v>42.835725635307725</v>
      </c>
      <c r="K122" s="40">
        <f t="shared" si="5"/>
        <v>0.015472715845711539</v>
      </c>
      <c r="L122" s="40">
        <f t="shared" si="6"/>
        <v>0.021701516502037714</v>
      </c>
      <c r="M122" s="69">
        <f t="shared" si="12"/>
        <v>0.007497916572259861</v>
      </c>
      <c r="N122" s="70">
        <f t="shared" si="13"/>
        <v>0.007361001429232474</v>
      </c>
      <c r="O122" s="34">
        <f t="shared" si="14"/>
        <v>0.4757407492410371</v>
      </c>
      <c r="P122" s="34">
        <f t="shared" si="15"/>
        <v>0.8986047197218338</v>
      </c>
      <c r="Q122" s="41">
        <f t="shared" si="7"/>
        <v>46.09110667118593</v>
      </c>
      <c r="R122" s="41">
        <f t="shared" si="8"/>
        <v>8.146603104132113</v>
      </c>
      <c r="S122" s="41">
        <f t="shared" si="16"/>
        <v>7.553278066734121</v>
      </c>
      <c r="T122" s="41">
        <f t="shared" si="17"/>
        <v>3.052070212634081</v>
      </c>
      <c r="U122" s="51">
        <f t="shared" si="18"/>
        <v>23.57903558889418</v>
      </c>
    </row>
    <row r="123" spans="1:21" ht="12.75">
      <c r="A123" s="5">
        <v>13</v>
      </c>
      <c r="B123" s="5">
        <v>1</v>
      </c>
      <c r="C123" s="5">
        <f t="shared" si="20"/>
        <v>0</v>
      </c>
      <c r="D123" s="36">
        <f t="shared" si="21"/>
        <v>-0.8421052631578947</v>
      </c>
      <c r="E123" s="36">
        <f t="shared" si="19"/>
        <v>-3</v>
      </c>
      <c r="F123" s="36">
        <f t="shared" si="3"/>
        <v>1.0843449009112887</v>
      </c>
      <c r="G123" s="36">
        <f t="shared" si="4"/>
        <v>-3.6835419850186057</v>
      </c>
      <c r="H123" s="44">
        <f t="shared" si="9"/>
        <v>3.839828826852458</v>
      </c>
      <c r="I123" s="44">
        <f t="shared" si="10"/>
        <v>43.80993654237147</v>
      </c>
      <c r="J123" s="44">
        <f t="shared" si="11"/>
        <v>43.80993654237147</v>
      </c>
      <c r="K123" s="40">
        <f t="shared" si="5"/>
        <v>0.015366649798047565</v>
      </c>
      <c r="L123" s="40">
        <f t="shared" si="6"/>
        <v>0.021424670936135523</v>
      </c>
      <c r="M123" s="69">
        <f t="shared" si="12"/>
        <v>0.005579590107327133</v>
      </c>
      <c r="N123" s="70">
        <f t="shared" si="13"/>
        <v>0.009765607995357797</v>
      </c>
      <c r="O123" s="34">
        <f t="shared" si="14"/>
        <v>0.635506640920429</v>
      </c>
      <c r="P123" s="34">
        <f t="shared" si="15"/>
        <v>0.9503854295015887</v>
      </c>
      <c r="Q123" s="41">
        <f t="shared" si="7"/>
        <v>46.367742581465215</v>
      </c>
      <c r="R123" s="41">
        <f t="shared" si="8"/>
        <v>8.195498501273976</v>
      </c>
      <c r="S123" s="41">
        <f t="shared" si="16"/>
        <v>7.861929314788103</v>
      </c>
      <c r="T123" s="41">
        <f t="shared" si="17"/>
        <v>2.314360199636058</v>
      </c>
      <c r="U123" s="51">
        <f t="shared" si="18"/>
        <v>31.46931139561793</v>
      </c>
    </row>
    <row r="124" spans="1:21" ht="12.75">
      <c r="A124" s="5">
        <v>14</v>
      </c>
      <c r="B124" s="5">
        <v>1</v>
      </c>
      <c r="C124" s="5">
        <f t="shared" si="20"/>
        <v>0</v>
      </c>
      <c r="D124" s="36">
        <f t="shared" si="21"/>
        <v>-0.8421052631578947</v>
      </c>
      <c r="E124" s="36">
        <f t="shared" si="19"/>
        <v>-4</v>
      </c>
      <c r="F124" s="36">
        <f t="shared" si="3"/>
        <v>1.0843449009112887</v>
      </c>
      <c r="G124" s="36">
        <f t="shared" si="4"/>
        <v>-4.683541985018605</v>
      </c>
      <c r="H124" s="44">
        <f t="shared" si="9"/>
        <v>4.8074285631264795</v>
      </c>
      <c r="I124" s="44">
        <f t="shared" si="10"/>
        <v>44.252154989641994</v>
      </c>
      <c r="J124" s="44">
        <f t="shared" si="11"/>
        <v>44.252154989641994</v>
      </c>
      <c r="K124" s="40">
        <f t="shared" si="5"/>
        <v>0.015319481399424378</v>
      </c>
      <c r="L124" s="40">
        <f t="shared" si="6"/>
        <v>0.02130193248511526</v>
      </c>
      <c r="M124" s="69">
        <f t="shared" si="12"/>
        <v>0.0044310450390263705</v>
      </c>
      <c r="N124" s="70">
        <f t="shared" si="13"/>
        <v>0.01222644678452051</v>
      </c>
      <c r="O124" s="34">
        <f t="shared" si="14"/>
        <v>0.7980979555208646</v>
      </c>
      <c r="P124" s="34">
        <f t="shared" si="15"/>
        <v>0.9825854651369653</v>
      </c>
      <c r="Q124" s="41">
        <f t="shared" si="7"/>
        <v>46.49265025932886</v>
      </c>
      <c r="R124" s="41">
        <f t="shared" si="8"/>
        <v>8.217575933336375</v>
      </c>
      <c r="S124" s="41">
        <f t="shared" si="16"/>
        <v>8.005810464675811</v>
      </c>
      <c r="T124" s="41">
        <f t="shared" si="17"/>
        <v>1.853524486980544</v>
      </c>
      <c r="U124" s="51">
        <f t="shared" si="18"/>
        <v>39.50540926158203</v>
      </c>
    </row>
    <row r="125" spans="1:21" ht="12.75">
      <c r="A125" s="5">
        <v>15</v>
      </c>
      <c r="B125" s="5">
        <v>1</v>
      </c>
      <c r="C125" s="5">
        <f t="shared" si="20"/>
        <v>0</v>
      </c>
      <c r="D125" s="36">
        <f t="shared" si="21"/>
        <v>-0.8421052631578947</v>
      </c>
      <c r="E125" s="36">
        <f t="shared" si="19"/>
        <v>-5</v>
      </c>
      <c r="F125" s="36">
        <f t="shared" si="3"/>
        <v>1.0843449009112887</v>
      </c>
      <c r="G125" s="36">
        <f t="shared" si="4"/>
        <v>-5.683541985018605</v>
      </c>
      <c r="H125" s="44">
        <f t="shared" si="9"/>
        <v>5.786056805770363</v>
      </c>
      <c r="I125" s="44">
        <f t="shared" si="10"/>
        <v>44.48790622312848</v>
      </c>
      <c r="J125" s="44">
        <f t="shared" si="11"/>
        <v>44.48790622312848</v>
      </c>
      <c r="K125" s="42">
        <f t="shared" si="5"/>
        <v>0.01529457801720265</v>
      </c>
      <c r="L125" s="42">
        <f t="shared" si="6"/>
        <v>0.021237225008798582</v>
      </c>
      <c r="M125" s="71">
        <f t="shared" si="12"/>
        <v>0.0036704141908214523</v>
      </c>
      <c r="N125" s="72">
        <f t="shared" si="13"/>
        <v>0.014715333717191395</v>
      </c>
      <c r="O125" s="35">
        <f t="shared" si="14"/>
        <v>0.9621274742356575</v>
      </c>
      <c r="P125" s="35">
        <f t="shared" si="15"/>
        <v>0.998473840095841</v>
      </c>
      <c r="Q125" s="43">
        <f t="shared" si="7"/>
        <v>46.559059840018406</v>
      </c>
      <c r="R125" s="43">
        <f t="shared" si="8"/>
        <v>8.229313826723253</v>
      </c>
      <c r="S125" s="43">
        <f t="shared" si="16"/>
        <v>8.08351044798436</v>
      </c>
      <c r="T125" s="43">
        <f t="shared" si="17"/>
        <v>1.5422272517454223</v>
      </c>
      <c r="U125" s="51">
        <f t="shared" si="18"/>
        <v>47.61527727393222</v>
      </c>
    </row>
    <row r="126" spans="1:21" ht="12.75">
      <c r="A126" s="7">
        <v>16</v>
      </c>
      <c r="B126" s="7">
        <v>1</v>
      </c>
      <c r="C126" s="7">
        <f>+C111</f>
        <v>90</v>
      </c>
      <c r="D126" s="32">
        <f>+D114</f>
        <v>-0.3421052631578947</v>
      </c>
      <c r="E126" s="32">
        <f>-E114</f>
        <v>-5.5</v>
      </c>
      <c r="F126" s="32">
        <f t="shared" si="3"/>
        <v>1.5843449009112887</v>
      </c>
      <c r="G126" s="32">
        <f t="shared" si="4"/>
        <v>-6.183541985018605</v>
      </c>
      <c r="H126" s="39">
        <f t="shared" si="9"/>
        <v>6.383286006872278</v>
      </c>
      <c r="I126" s="39">
        <f t="shared" si="10"/>
        <v>44.08938629357679</v>
      </c>
      <c r="J126" s="39">
        <f>+C126-I126</f>
        <v>45.91061370642321</v>
      </c>
      <c r="K126" s="38">
        <f t="shared" si="5"/>
        <v>0.01514775038548597</v>
      </c>
      <c r="L126" s="38">
        <f t="shared" si="6"/>
        <v>0.02085705789298444</v>
      </c>
      <c r="M126" s="67">
        <f t="shared" si="12"/>
        <v>0.0032674484380818326</v>
      </c>
      <c r="N126" s="68">
        <f t="shared" si="13"/>
        <v>0.01623423117963969</v>
      </c>
      <c r="O126" s="32">
        <f t="shared" si="14"/>
        <v>1.0717255543895645</v>
      </c>
      <c r="P126" s="32">
        <f t="shared" si="15"/>
        <v>1.0007620589881427</v>
      </c>
      <c r="Q126" s="39">
        <f t="shared" si="7"/>
        <v>46.95697504875224</v>
      </c>
      <c r="R126" s="39">
        <f t="shared" si="8"/>
        <v>8.299645339866958</v>
      </c>
      <c r="S126" s="39">
        <f t="shared" si="16"/>
        <v>8.039935131306772</v>
      </c>
      <c r="T126" s="39">
        <f t="shared" si="17"/>
        <v>2.0599892844271017</v>
      </c>
      <c r="U126" s="51">
        <f t="shared" si="18"/>
        <v>52.979009959975464</v>
      </c>
    </row>
    <row r="127" spans="1:21" ht="12.75">
      <c r="A127" s="11">
        <v>17</v>
      </c>
      <c r="B127" s="11">
        <v>1</v>
      </c>
      <c r="C127" s="11">
        <f>+C126</f>
        <v>90</v>
      </c>
      <c r="D127" s="34">
        <f>+D113</f>
        <v>0.6578947368421053</v>
      </c>
      <c r="E127" s="34">
        <f>-E113</f>
        <v>-5.5</v>
      </c>
      <c r="F127" s="34">
        <f t="shared" si="3"/>
        <v>2.5843449009112884</v>
      </c>
      <c r="G127" s="34">
        <f t="shared" si="4"/>
        <v>-6.183541985018605</v>
      </c>
      <c r="H127" s="41">
        <f t="shared" si="9"/>
        <v>6.701867653673415</v>
      </c>
      <c r="I127" s="41">
        <f t="shared" si="10"/>
        <v>42.69647442985299</v>
      </c>
      <c r="J127" s="41">
        <f>+C127-I127</f>
        <v>47.30352557014701</v>
      </c>
      <c r="K127" s="40">
        <f t="shared" si="5"/>
        <v>0.015009469496789123</v>
      </c>
      <c r="L127" s="40">
        <f t="shared" si="6"/>
        <v>0.020501148672996045</v>
      </c>
      <c r="M127" s="69">
        <f t="shared" si="12"/>
        <v>0.0030590202212899555</v>
      </c>
      <c r="N127" s="70">
        <f t="shared" si="13"/>
        <v>0.017044460910563834</v>
      </c>
      <c r="O127" s="34">
        <f t="shared" si="14"/>
        <v>1.1355805023095615</v>
      </c>
      <c r="P127" s="34">
        <f t="shared" si="15"/>
        <v>0.9991033177938601</v>
      </c>
      <c r="Q127" s="41">
        <f t="shared" si="7"/>
        <v>47.34135124383266</v>
      </c>
      <c r="R127" s="41">
        <f t="shared" si="8"/>
        <v>8.367583832347423</v>
      </c>
      <c r="S127" s="41">
        <f t="shared" si="16"/>
        <v>7.720430873045191</v>
      </c>
      <c r="T127" s="41">
        <f t="shared" si="17"/>
        <v>3.226671090441766</v>
      </c>
      <c r="U127" s="51">
        <f t="shared" si="18"/>
        <v>56.078439425409826</v>
      </c>
    </row>
    <row r="128" spans="1:21" ht="12.75">
      <c r="A128" s="11">
        <v>18</v>
      </c>
      <c r="B128" s="11">
        <v>1</v>
      </c>
      <c r="C128" s="11">
        <f>+C127</f>
        <v>90</v>
      </c>
      <c r="D128" s="34">
        <f>+D112</f>
        <v>1.6578947368421053</v>
      </c>
      <c r="E128" s="34">
        <f>-E112</f>
        <v>-5.5</v>
      </c>
      <c r="F128" s="34">
        <f t="shared" si="3"/>
        <v>3.5843449009112884</v>
      </c>
      <c r="G128" s="34">
        <f t="shared" si="4"/>
        <v>-6.183541985018605</v>
      </c>
      <c r="H128" s="41">
        <f t="shared" si="9"/>
        <v>7.147287586852553</v>
      </c>
      <c r="I128" s="41">
        <f t="shared" si="10"/>
        <v>40.86502430739715</v>
      </c>
      <c r="J128" s="41">
        <f>+C128-I128</f>
        <v>49.13497569260285</v>
      </c>
      <c r="K128" s="40">
        <f t="shared" si="5"/>
        <v>0.014835306302207682</v>
      </c>
      <c r="L128" s="40">
        <f t="shared" si="6"/>
        <v>0.02005588731817395</v>
      </c>
      <c r="M128" s="69">
        <f t="shared" si="12"/>
        <v>0.00280608371699871</v>
      </c>
      <c r="N128" s="70">
        <f t="shared" si="13"/>
        <v>0.01817727090207366</v>
      </c>
      <c r="O128" s="34">
        <f t="shared" si="14"/>
        <v>1.2252710211563782</v>
      </c>
      <c r="P128" s="34">
        <f t="shared" si="15"/>
        <v>0.9929994336050159</v>
      </c>
      <c r="Q128" s="41">
        <f t="shared" si="7"/>
        <v>47.83785942834475</v>
      </c>
      <c r="R128" s="41">
        <f t="shared" si="8"/>
        <v>8.455341653959934</v>
      </c>
      <c r="S128" s="41">
        <f t="shared" si="16"/>
        <v>7.315217063759172</v>
      </c>
      <c r="T128" s="41">
        <f t="shared" si="17"/>
        <v>4.240330387514227</v>
      </c>
      <c r="U128" s="51">
        <f t="shared" si="18"/>
        <v>60.43275844594517</v>
      </c>
    </row>
    <row r="129" spans="1:21" ht="12.75">
      <c r="A129" s="10">
        <v>19</v>
      </c>
      <c r="B129" s="10">
        <v>1</v>
      </c>
      <c r="C129" s="10">
        <f>+C128</f>
        <v>90</v>
      </c>
      <c r="D129" s="35">
        <f>+D111</f>
        <v>2.6578947368421053</v>
      </c>
      <c r="E129" s="35">
        <f>-E111</f>
        <v>-5.5</v>
      </c>
      <c r="F129" s="35">
        <f t="shared" si="3"/>
        <v>4.584344900911288</v>
      </c>
      <c r="G129" s="35">
        <f t="shared" si="4"/>
        <v>-6.183541985018605</v>
      </c>
      <c r="H129" s="43">
        <f t="shared" si="9"/>
        <v>7.697558681231288</v>
      </c>
      <c r="I129" s="43">
        <f t="shared" si="10"/>
        <v>38.77533426607731</v>
      </c>
      <c r="J129" s="43">
        <f>+C129-I129</f>
        <v>51.22466573392269</v>
      </c>
      <c r="K129" s="42">
        <f t="shared" si="5"/>
        <v>0.014646375124622451</v>
      </c>
      <c r="L129" s="42">
        <f t="shared" si="6"/>
        <v>0.019576742608025763</v>
      </c>
      <c r="M129" s="71">
        <f t="shared" si="12"/>
        <v>0.002543240450476735</v>
      </c>
      <c r="N129" s="72">
        <f t="shared" si="13"/>
        <v>0.019576742608025763</v>
      </c>
      <c r="O129" s="35">
        <f t="shared" si="14"/>
        <v>1.336627147772197</v>
      </c>
      <c r="P129" s="35">
        <f t="shared" si="15"/>
        <v>0.978992951510977</v>
      </c>
      <c r="Q129" s="43">
        <f t="shared" si="7"/>
        <v>48.390437421614976</v>
      </c>
      <c r="R129" s="43">
        <f t="shared" si="8"/>
        <v>8.553009814270446</v>
      </c>
      <c r="S129" s="43">
        <f t="shared" si="16"/>
        <v>6.870736226249545</v>
      </c>
      <c r="T129" s="43">
        <f t="shared" si="17"/>
        <v>5.093815916609937</v>
      </c>
      <c r="U129" s="51">
        <f t="shared" si="18"/>
        <v>65.83729494649388</v>
      </c>
    </row>
    <row r="130" spans="2:21" ht="12.75">
      <c r="B130" s="5">
        <f>SUM(B111:B129)</f>
        <v>19</v>
      </c>
      <c r="M130" s="73">
        <f>MIN(M111:M129)</f>
        <v>0.002543240450476735</v>
      </c>
      <c r="R130" s="44"/>
      <c r="S130" s="44">
        <f>SUM(S111:S129)</f>
        <v>12.551058475411711</v>
      </c>
      <c r="T130" s="44">
        <f>SUM(T111:T129)</f>
        <v>71.1805943756963</v>
      </c>
      <c r="U130" s="51">
        <f>SUM(U111:U129)</f>
        <v>707.3714730525555</v>
      </c>
    </row>
    <row r="131" ht="12.75">
      <c r="S131" s="44">
        <f>SQRT(S130^2+T130^2)</f>
        <v>72.27866963724922</v>
      </c>
    </row>
    <row r="132" spans="2:20" ht="12.75">
      <c r="B132" s="2" t="s">
        <v>174</v>
      </c>
      <c r="D132" s="2" t="s">
        <v>188</v>
      </c>
      <c r="E132" s="2" t="s">
        <v>187</v>
      </c>
      <c r="H132" s="15">
        <f>+U130/C105</f>
        <v>72.27867417323752</v>
      </c>
      <c r="I132" s="2" t="s">
        <v>14</v>
      </c>
      <c r="K132" s="2" t="s">
        <v>212</v>
      </c>
      <c r="S132" s="2">
        <f>DEGREES(ATAN(S130/T130))</f>
        <v>9.999999363065326</v>
      </c>
      <c r="T132" s="2" t="s">
        <v>173</v>
      </c>
    </row>
    <row r="133" spans="4:9" ht="12.75">
      <c r="D133" s="2" t="s">
        <v>184</v>
      </c>
      <c r="E133" s="2" t="s">
        <v>182</v>
      </c>
      <c r="H133" s="15">
        <f>+S130/SIN(RADIANS(C10))</f>
        <v>72.2786650804107</v>
      </c>
      <c r="I133" s="2" t="s">
        <v>14</v>
      </c>
    </row>
    <row r="134" spans="4:13" ht="12.75">
      <c r="D134" s="4" t="s">
        <v>183</v>
      </c>
      <c r="E134" s="4" t="s">
        <v>185</v>
      </c>
      <c r="F134" s="4"/>
      <c r="G134" s="4"/>
      <c r="H134" s="74">
        <f>+T130/COS(RADIANS(C10))</f>
        <v>72.27866977892681</v>
      </c>
      <c r="I134" s="4" t="s">
        <v>14</v>
      </c>
      <c r="L134" s="2" t="s">
        <v>213</v>
      </c>
      <c r="M134" s="2">
        <v>0.857</v>
      </c>
    </row>
    <row r="135" spans="7:14" ht="12.75">
      <c r="G135" s="50" t="s">
        <v>186</v>
      </c>
      <c r="H135" s="97">
        <f>MAX(H132:H134)-MIN(H132:H134)</f>
        <v>9.092826815049193E-06</v>
      </c>
      <c r="I135" s="2" t="str">
        <f>IF(H135&gt;1,"Find New IC"," ")</f>
        <v> </v>
      </c>
      <c r="L135" s="2" t="s">
        <v>199</v>
      </c>
      <c r="M135" s="2">
        <f>+C150</f>
        <v>11</v>
      </c>
      <c r="N135" s="2" t="s">
        <v>9</v>
      </c>
    </row>
    <row r="136" spans="12:13" ht="12.75">
      <c r="L136" s="2" t="s">
        <v>0</v>
      </c>
      <c r="M136" s="2">
        <f>+C94</f>
        <v>4</v>
      </c>
    </row>
    <row r="137" spans="6:14" ht="12.75">
      <c r="F137" s="2" t="s">
        <v>189</v>
      </c>
      <c r="G137" s="15">
        <f>MIN(H132:H134)</f>
        <v>72.2786650804107</v>
      </c>
      <c r="H137" s="2" t="s">
        <v>74</v>
      </c>
      <c r="L137" s="50" t="s">
        <v>214</v>
      </c>
      <c r="M137" s="15">
        <f>+G137</f>
        <v>72.2786650804107</v>
      </c>
      <c r="N137" s="2" t="s">
        <v>74</v>
      </c>
    </row>
    <row r="138" spans="12:13" ht="12.75">
      <c r="L138" s="2" t="s">
        <v>215</v>
      </c>
      <c r="M138" s="75">
        <f>+M137/M134/M136/M135</f>
        <v>1.916799222457057</v>
      </c>
    </row>
    <row r="139" spans="2:10" ht="12.75">
      <c r="B139" s="4" t="s">
        <v>118</v>
      </c>
      <c r="C139" s="4"/>
      <c r="D139" s="4"/>
      <c r="E139" s="4"/>
      <c r="G139" s="4" t="s">
        <v>152</v>
      </c>
      <c r="H139" s="4"/>
      <c r="I139" s="4"/>
      <c r="J139" s="4"/>
    </row>
    <row r="140" spans="2:10" ht="12.75">
      <c r="B140" s="76" t="s">
        <v>190</v>
      </c>
      <c r="C140" s="33"/>
      <c r="D140" s="33">
        <v>0.75</v>
      </c>
      <c r="E140" s="33"/>
      <c r="G140" s="14" t="s">
        <v>191</v>
      </c>
      <c r="H140" s="33"/>
      <c r="I140" s="66">
        <v>2</v>
      </c>
      <c r="J140" s="33"/>
    </row>
    <row r="141" spans="2:10" ht="15.75">
      <c r="B141" s="76" t="s">
        <v>192</v>
      </c>
      <c r="D141" s="15">
        <f>+D140*G137</f>
        <v>54.20899881030803</v>
      </c>
      <c r="E141" s="2" t="s">
        <v>193</v>
      </c>
      <c r="G141" s="2" t="s">
        <v>195</v>
      </c>
      <c r="I141" s="15">
        <f>+G137/I140</f>
        <v>36.13933254020535</v>
      </c>
      <c r="J141" s="2" t="s">
        <v>193</v>
      </c>
    </row>
    <row r="142" spans="2:10" ht="15.75">
      <c r="B142" s="56" t="s">
        <v>194</v>
      </c>
      <c r="D142" s="60">
        <f>+E27/D141</f>
        <v>0.9592503300413661</v>
      </c>
      <c r="E142" s="2" t="str">
        <f>IF(D142&lt;=1,"Good","No Good")</f>
        <v>Good</v>
      </c>
      <c r="G142" s="2" t="s">
        <v>196</v>
      </c>
      <c r="I142" s="60">
        <f>+K27/I141</f>
        <v>0.9684738909071485</v>
      </c>
      <c r="J142" s="2" t="str">
        <f>IF(I142&lt;=1,"Good","No Good")</f>
        <v>Good</v>
      </c>
    </row>
    <row r="145" ht="12.75">
      <c r="A145" s="3" t="s">
        <v>197</v>
      </c>
    </row>
    <row r="147" ht="12.75">
      <c r="A147" s="2" t="s">
        <v>198</v>
      </c>
    </row>
    <row r="150" spans="2:6" ht="12.75">
      <c r="B150" s="2" t="s">
        <v>208</v>
      </c>
      <c r="C150" s="2">
        <f>+C38</f>
        <v>11</v>
      </c>
      <c r="D150" s="2" t="s">
        <v>9</v>
      </c>
      <c r="E150" s="2" t="s">
        <v>55</v>
      </c>
      <c r="F150" s="16">
        <f>+C151/C150</f>
        <v>0.738492081371451</v>
      </c>
    </row>
    <row r="151" spans="2:6" ht="12.75">
      <c r="B151" s="2" t="s">
        <v>207</v>
      </c>
      <c r="C151" s="16">
        <f>+C103</f>
        <v>8.123412895085961</v>
      </c>
      <c r="D151" s="2" t="s">
        <v>9</v>
      </c>
      <c r="E151" s="2" t="s">
        <v>14</v>
      </c>
      <c r="F151" s="16">
        <f>+C152/C150</f>
        <v>0.36363636363636365</v>
      </c>
    </row>
    <row r="152" spans="2:4" ht="12.75">
      <c r="B152" s="2" t="s">
        <v>206</v>
      </c>
      <c r="C152" s="2">
        <f>+C62</f>
        <v>4</v>
      </c>
      <c r="D152" s="2" t="s">
        <v>9</v>
      </c>
    </row>
    <row r="153" spans="2:3" ht="12.75">
      <c r="B153" s="2" t="s">
        <v>205</v>
      </c>
      <c r="C153" s="2">
        <v>0.857</v>
      </c>
    </row>
    <row r="155" ht="12.75">
      <c r="B155" s="2" t="s">
        <v>202</v>
      </c>
    </row>
    <row r="156" spans="2:9" ht="12.75">
      <c r="B156" s="2" t="s">
        <v>200</v>
      </c>
      <c r="C156" s="2">
        <v>0</v>
      </c>
      <c r="D156" s="2" t="s">
        <v>173</v>
      </c>
      <c r="G156" s="2" t="s">
        <v>200</v>
      </c>
      <c r="H156" s="2">
        <v>15</v>
      </c>
      <c r="I156" s="2" t="s">
        <v>173</v>
      </c>
    </row>
    <row r="157" spans="4:9" ht="12.75">
      <c r="D157" s="5" t="s">
        <v>14</v>
      </c>
      <c r="I157" s="5" t="s">
        <v>14</v>
      </c>
    </row>
    <row r="158" spans="3:10" ht="12.75">
      <c r="C158" s="86">
        <v>0.3</v>
      </c>
      <c r="D158" s="44">
        <f>+F151</f>
        <v>0.36363636363636365</v>
      </c>
      <c r="E158" s="86">
        <v>0.4</v>
      </c>
      <c r="H158" s="86">
        <v>0.3</v>
      </c>
      <c r="I158" s="44">
        <f>+F151</f>
        <v>0.36363636363636365</v>
      </c>
      <c r="J158" s="86">
        <v>0.4</v>
      </c>
    </row>
    <row r="159" spans="2:10" ht="12.75">
      <c r="B159" s="86">
        <v>0.7</v>
      </c>
      <c r="C159" s="20">
        <v>1.66</v>
      </c>
      <c r="D159" s="39">
        <f>+(E159-C159)/(E158-C158)*(D158-C158)+C159</f>
        <v>1.8445454545454545</v>
      </c>
      <c r="E159" s="87">
        <v>1.95</v>
      </c>
      <c r="G159" s="86">
        <v>0.7</v>
      </c>
      <c r="H159" s="20">
        <v>1.68</v>
      </c>
      <c r="I159" s="39">
        <f>+(J159-H159)/(J158-H158)*(I158-H158)+H159</f>
        <v>1.8645454545454545</v>
      </c>
      <c r="J159" s="87">
        <v>1.97</v>
      </c>
    </row>
    <row r="160" spans="1:10" ht="12.75">
      <c r="A160" s="50" t="s">
        <v>55</v>
      </c>
      <c r="B160" s="44">
        <f>+F150</f>
        <v>0.738492081371451</v>
      </c>
      <c r="C160" s="77"/>
      <c r="D160" s="78">
        <f>(D161-D159)/(B161-B159)*(B160-B159)+D159</f>
        <v>1.6692315202991188</v>
      </c>
      <c r="E160" s="79"/>
      <c r="F160" s="50" t="s">
        <v>55</v>
      </c>
      <c r="G160" s="44">
        <f>+F150</f>
        <v>0.738492081371451</v>
      </c>
      <c r="H160" s="77"/>
      <c r="I160" s="78">
        <f>(I161-I159)/(G161-G159)*(G160-G159)+I159</f>
        <v>1.7903607159022945</v>
      </c>
      <c r="J160" s="79"/>
    </row>
    <row r="161" spans="2:10" ht="12.75">
      <c r="B161" s="86">
        <v>0.8</v>
      </c>
      <c r="C161" s="22">
        <v>1.23</v>
      </c>
      <c r="D161" s="43">
        <f>+(E161-C161)/(E158-C158)*(D158-C158)+C161</f>
        <v>1.3890909090909092</v>
      </c>
      <c r="E161" s="24">
        <v>1.48</v>
      </c>
      <c r="G161" s="86">
        <v>0.8</v>
      </c>
      <c r="H161" s="22">
        <v>1.5</v>
      </c>
      <c r="I161" s="43">
        <f>+(J161-H161)/(J158-H158)*(I158-H158)+H161</f>
        <v>1.6718181818181819</v>
      </c>
      <c r="J161" s="24">
        <v>1.77</v>
      </c>
    </row>
    <row r="163" ht="12.75">
      <c r="B163" s="2" t="s">
        <v>201</v>
      </c>
    </row>
    <row r="165" spans="3:4" ht="12.75">
      <c r="C165" s="5" t="s">
        <v>10</v>
      </c>
      <c r="D165" s="5" t="s">
        <v>123</v>
      </c>
    </row>
    <row r="166" spans="3:4" ht="12.75">
      <c r="C166" s="6">
        <f>+C156</f>
        <v>0</v>
      </c>
      <c r="D166" s="80">
        <f>+D160</f>
        <v>1.6692315202991188</v>
      </c>
    </row>
    <row r="167" spans="3:5" ht="12.75">
      <c r="C167" s="77">
        <f>+C10</f>
        <v>10</v>
      </c>
      <c r="D167" s="81">
        <f>(D168-D166)/(C168-C166)*(C167-C166)+D166</f>
        <v>1.7499843173679026</v>
      </c>
      <c r="E167" s="2" t="s">
        <v>203</v>
      </c>
    </row>
    <row r="168" spans="3:4" ht="12.75">
      <c r="C168" s="9">
        <f>+H156</f>
        <v>15</v>
      </c>
      <c r="D168" s="82">
        <f>+I160</f>
        <v>1.7903607159022945</v>
      </c>
    </row>
    <row r="170" ht="12.75">
      <c r="B170" s="2" t="s">
        <v>204</v>
      </c>
    </row>
    <row r="172" spans="2:10" ht="12.75">
      <c r="B172" s="4" t="s">
        <v>118</v>
      </c>
      <c r="C172" s="4"/>
      <c r="D172" s="4"/>
      <c r="E172" s="4"/>
      <c r="G172" s="4" t="s">
        <v>152</v>
      </c>
      <c r="H172" s="4"/>
      <c r="I172" s="4"/>
      <c r="J172" s="4"/>
    </row>
    <row r="173" spans="2:10" ht="12.75">
      <c r="B173" s="76" t="s">
        <v>190</v>
      </c>
      <c r="C173" s="33"/>
      <c r="D173" s="33">
        <v>0.75</v>
      </c>
      <c r="E173" s="33"/>
      <c r="G173" s="14" t="s">
        <v>191</v>
      </c>
      <c r="H173" s="33"/>
      <c r="I173" s="66">
        <v>2</v>
      </c>
      <c r="J173" s="33"/>
    </row>
    <row r="174" spans="2:10" ht="12.75">
      <c r="B174" s="56" t="s">
        <v>2</v>
      </c>
      <c r="D174" s="15">
        <f>+E27</f>
        <v>52</v>
      </c>
      <c r="E174" s="2" t="s">
        <v>74</v>
      </c>
      <c r="G174" s="2" t="s">
        <v>209</v>
      </c>
      <c r="I174" s="15">
        <f>+K27</f>
        <v>35</v>
      </c>
      <c r="J174" s="2" t="s">
        <v>74</v>
      </c>
    </row>
    <row r="175" spans="2:10" ht="12.75">
      <c r="B175" s="56" t="s">
        <v>210</v>
      </c>
      <c r="D175" s="16">
        <f>+D174/D173/D167/C153/C150</f>
        <v>4.202758318498495</v>
      </c>
      <c r="E175" s="12" t="s">
        <v>76</v>
      </c>
      <c r="G175" s="2" t="s">
        <v>210</v>
      </c>
      <c r="I175" s="16">
        <f>+I173*I174/D167/C153/C150</f>
        <v>4.243169456176365</v>
      </c>
      <c r="J175" s="12" t="s">
        <v>76</v>
      </c>
    </row>
    <row r="176" spans="2:10" ht="12.75">
      <c r="B176" s="57" t="s">
        <v>146</v>
      </c>
      <c r="C176" s="83"/>
      <c r="D176" s="88" t="s">
        <v>211</v>
      </c>
      <c r="E176" s="61"/>
      <c r="G176" s="57" t="s">
        <v>146</v>
      </c>
      <c r="H176" s="83"/>
      <c r="I176" s="88" t="s">
        <v>211</v>
      </c>
      <c r="J176" s="61"/>
    </row>
    <row r="177" spans="2:9" ht="12.75">
      <c r="B177" s="56"/>
      <c r="D177" s="15"/>
      <c r="I177" s="15"/>
    </row>
  </sheetData>
  <sheetProtection password="CA9D" sheet="1" objects="1" scenarios="1"/>
  <conditionalFormatting sqref="D142 I142 D86 L86">
    <cfRule type="cellIs" priority="4" dxfId="4" operator="lessThanOrEqual" stopIfTrue="1">
      <formula>1</formula>
    </cfRule>
    <cfRule type="cellIs" priority="5" dxfId="3" operator="greaterThan" stopIfTrue="1">
      <formula>1</formula>
    </cfRule>
  </conditionalFormatting>
  <conditionalFormatting sqref="E102">
    <cfRule type="cellIs" priority="2" dxfId="1" operator="notEqual" stopIfTrue="1">
      <formula>"Good IC"</formula>
    </cfRule>
    <cfRule type="cellIs" priority="3" dxfId="2" operator="equal" stopIfTrue="1">
      <formula>"Good IC"</formula>
    </cfRule>
  </conditionalFormatting>
  <conditionalFormatting sqref="H135">
    <cfRule type="cellIs" priority="1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3"/>
  <legacyDrawing r:id="rId2"/>
  <oleObjects>
    <oleObject progId="AutoCAD.Drawing.16" shapeId="225147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</dc:creator>
  <cp:keywords/>
  <dc:description/>
  <cp:lastModifiedBy>T. Bart Quimby</cp:lastModifiedBy>
  <dcterms:created xsi:type="dcterms:W3CDTF">2006-09-23T19:09:51Z</dcterms:created>
  <dcterms:modified xsi:type="dcterms:W3CDTF">2007-10-03T22:07:02Z</dcterms:modified>
  <cp:category/>
  <cp:version/>
  <cp:contentType/>
  <cp:contentStatus/>
</cp:coreProperties>
</file>